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updateLinks="never" hidePivotFieldList="1"/>
  <mc:AlternateContent xmlns:mc="http://schemas.openxmlformats.org/markup-compatibility/2006">
    <mc:Choice Requires="x15">
      <x15ac:absPath xmlns:x15ac="http://schemas.microsoft.com/office/spreadsheetml/2010/11/ac" url="C:\Users\marco_papale\Downloads\"/>
    </mc:Choice>
  </mc:AlternateContent>
  <xr:revisionPtr revIDLastSave="0" documentId="13_ncr:1_{2CC3B575-EBB1-48DB-8F34-DB84B2D66A98}" xr6:coauthVersionLast="47" xr6:coauthVersionMax="47" xr10:uidLastSave="{00000000-0000-0000-0000-000000000000}"/>
  <bookViews>
    <workbookView xWindow="-110" yWindow="-110" windowWidth="19420" windowHeight="10420" tabRatio="885" activeTab="1" xr2:uid="{92992F67-0E40-4238-9A37-1E2F5A851B6E}"/>
  </bookViews>
  <sheets>
    <sheet name="CREDITS" sheetId="18" r:id="rId1"/>
    <sheet name="Master monitoraggio PNRR" sheetId="2" r:id="rId2"/>
    <sheet name="Somma e media % risorse" sheetId="4" r:id="rId3"/>
  </sheets>
  <definedNames>
    <definedName name="_xlnm._FilterDatabase" localSheetId="1" hidden="1">'Master monitoraggio PNRR'!$A$1:$S$140</definedName>
    <definedName name="_xlnm.Print_Area" localSheetId="1">'Master monitoraggio PNRR'!$A$1:$R$140</definedName>
    <definedName name="_xlnm.Print_Titles" localSheetId="1">'Master monitoraggio PNRR'!$1:$1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4" l="1"/>
  <c r="E32" i="4"/>
  <c r="E33" i="4"/>
  <c r="E51" i="4"/>
  <c r="B51" i="4"/>
  <c r="B32" i="4"/>
  <c r="O32" i="2"/>
  <c r="O34" i="2" l="1"/>
  <c r="O35" i="2"/>
  <c r="O20" i="2"/>
  <c r="O55" i="2" l="1"/>
  <c r="O29" i="2"/>
  <c r="E52" i="4" s="1"/>
  <c r="F45" i="4"/>
  <c r="E45" i="4"/>
  <c r="F46" i="4"/>
  <c r="E46" i="4"/>
  <c r="B46" i="4"/>
  <c r="F52" i="4"/>
  <c r="B52" i="4"/>
  <c r="B50" i="4"/>
  <c r="Q55" i="2"/>
  <c r="O117" i="2"/>
  <c r="Q136" i="2" l="1"/>
  <c r="F43" i="4"/>
  <c r="F31" i="4"/>
  <c r="F33" i="4"/>
  <c r="F34" i="4"/>
  <c r="F50" i="4"/>
  <c r="F49" i="4"/>
  <c r="F42" i="4"/>
  <c r="F41" i="4"/>
  <c r="F40" i="4"/>
  <c r="F38" i="4"/>
  <c r="F37" i="4"/>
  <c r="F35" i="4"/>
  <c r="F30" i="4"/>
  <c r="F29" i="4"/>
  <c r="O65" i="2"/>
  <c r="F53" i="4" l="1"/>
  <c r="O93" i="2"/>
  <c r="E29" i="4" s="1"/>
  <c r="Q65" i="2" l="1"/>
  <c r="B45" i="4"/>
  <c r="Q128" i="2"/>
  <c r="Q127" i="2"/>
  <c r="Q24" i="2" l="1"/>
  <c r="Q23" i="2"/>
  <c r="Q22" i="2"/>
  <c r="Q66" i="2" l="1"/>
  <c r="Q64" i="2"/>
  <c r="Q98" i="2" l="1"/>
  <c r="Q68" i="2"/>
  <c r="Q2" i="2"/>
  <c r="R93" i="2"/>
  <c r="Q134" i="2"/>
  <c r="Q47" i="2"/>
  <c r="Q129" i="2" l="1"/>
  <c r="Q125" i="2"/>
  <c r="Q126" i="2"/>
  <c r="Q135" i="2" l="1"/>
  <c r="Q138" i="2"/>
  <c r="Q132" i="2"/>
  <c r="Q133" i="2"/>
  <c r="Q96" i="2" l="1"/>
  <c r="Q32" i="2" l="1"/>
  <c r="Q121" i="2"/>
  <c r="O101" i="2"/>
  <c r="Q101" i="2" l="1"/>
  <c r="E30" i="4"/>
  <c r="F11" i="4"/>
  <c r="B30" i="4"/>
  <c r="E34" i="4"/>
  <c r="E35" i="4"/>
  <c r="E36" i="4"/>
  <c r="E37" i="4"/>
  <c r="E38" i="4"/>
  <c r="E39" i="4"/>
  <c r="E40" i="4"/>
  <c r="E41" i="4"/>
  <c r="E42" i="4"/>
  <c r="E43" i="4"/>
  <c r="E48" i="4"/>
  <c r="E49" i="4"/>
  <c r="E50" i="4"/>
  <c r="B29" i="4"/>
  <c r="B31" i="4" l="1"/>
  <c r="Q53" i="2"/>
  <c r="Q54" i="2"/>
  <c r="C11" i="4" l="1"/>
  <c r="Q130" i="2"/>
  <c r="E47" i="4"/>
  <c r="E53" i="4" s="1"/>
  <c r="Q41" i="2"/>
  <c r="Q42" i="2"/>
  <c r="Q108" i="2" l="1"/>
  <c r="Q97" i="2"/>
  <c r="Q60" i="2" l="1"/>
  <c r="Q61" i="2"/>
  <c r="Q62" i="2"/>
  <c r="Q122" i="2"/>
  <c r="B41" i="4" l="1"/>
  <c r="Q15" i="2"/>
  <c r="Q16" i="2"/>
  <c r="Q17" i="2"/>
  <c r="B49" i="4" l="1"/>
  <c r="Q4" i="2" l="1"/>
  <c r="B48" i="4" l="1"/>
  <c r="B47" i="4"/>
  <c r="B43" i="4"/>
  <c r="B42" i="4"/>
  <c r="B40" i="4"/>
  <c r="B39" i="4"/>
  <c r="B38" i="4"/>
  <c r="B37" i="4"/>
  <c r="B36" i="4"/>
  <c r="B35" i="4"/>
  <c r="B34" i="4"/>
  <c r="B33" i="4"/>
  <c r="G22" i="4"/>
  <c r="B22" i="4"/>
  <c r="B53" i="4" l="1"/>
  <c r="Q14" i="2"/>
  <c r="Q50" i="2" l="1"/>
  <c r="Q51" i="2"/>
  <c r="B3" i="4" l="1"/>
  <c r="H5" i="4" l="1"/>
  <c r="G5" i="4"/>
  <c r="F5" i="4"/>
  <c r="E5" i="4"/>
  <c r="D5" i="4"/>
  <c r="C5" i="4"/>
  <c r="B5" i="4"/>
  <c r="H4" i="4"/>
  <c r="G4" i="4"/>
  <c r="F4" i="4"/>
  <c r="E4" i="4"/>
  <c r="D4" i="4"/>
  <c r="C4" i="4"/>
  <c r="B11" i="4"/>
  <c r="C17" i="4" l="1"/>
  <c r="C14" i="4"/>
  <c r="B25" i="4"/>
  <c r="Q39" i="2"/>
  <c r="E11" i="4" l="1"/>
  <c r="C22" i="4"/>
  <c r="C25" i="4" s="1"/>
  <c r="E14" i="4" l="1"/>
  <c r="E17" i="4"/>
  <c r="Q85" i="2" l="1"/>
  <c r="Q52" i="2" l="1"/>
  <c r="Q99" i="2"/>
  <c r="H22" i="4" l="1"/>
  <c r="F22" i="4"/>
  <c r="E22" i="4"/>
  <c r="E25" i="4" s="1"/>
  <c r="D22" i="4"/>
  <c r="H11" i="4"/>
  <c r="G11" i="4"/>
  <c r="F14" i="4"/>
  <c r="D11" i="4"/>
  <c r="D25" i="4" l="1"/>
  <c r="H25" i="4"/>
  <c r="F25" i="4"/>
  <c r="G25" i="4"/>
  <c r="G14" i="4"/>
  <c r="G17" i="4"/>
  <c r="F17" i="4"/>
  <c r="H14" i="4"/>
  <c r="H17" i="4"/>
  <c r="D14" i="4"/>
  <c r="D17" i="4"/>
  <c r="B4" i="4"/>
  <c r="Q107" i="2"/>
  <c r="Q106" i="2"/>
  <c r="B17" i="4" l="1"/>
  <c r="Q116" i="2"/>
  <c r="Q40" i="2" l="1"/>
  <c r="Q57" i="2" l="1"/>
  <c r="Q117" i="2"/>
  <c r="Q92" i="2"/>
  <c r="Q93" i="2"/>
  <c r="Q94" i="2"/>
  <c r="Q102" i="2"/>
  <c r="Q109" i="2"/>
  <c r="Q110" i="2"/>
  <c r="Q111" i="2"/>
  <c r="Q112" i="2"/>
  <c r="Q113" i="2"/>
  <c r="Q114" i="2"/>
  <c r="Q115" i="2"/>
  <c r="Q48" i="2" l="1"/>
  <c r="Q1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tc={5C93F117-0345-4A58-83A0-FB4837993478}</author>
    <author>tc={FCAACCD9-1A57-44D2-8F47-A070D91445B5}</author>
    <author>tc={E42F1258-17E5-42D2-913B-4A37F10295B9}</author>
  </authors>
  <commentList>
    <comment ref="N106" authorId="0" shapeId="0" xr:uid="{5C93F117-0345-4A58-83A0-FB4837993478}">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Prima assegnazione. 20% del totale</t>
      </text>
    </comment>
    <comment ref="O106" authorId="1" shapeId="0" xr:uid="{FCAACCD9-1A57-44D2-8F47-A070D91445B5}">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Prima assegnazione. 20% del totale</t>
      </text>
    </comment>
    <comment ref="L175" authorId="2" shapeId="0" xr:uid="{E42F1258-17E5-42D2-913B-4A37F10295B9}">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non ci sono riparti alle Regioni. Procedura nazionale "a sportello" entro le scadenze del superbonus</t>
      </text>
    </comment>
  </commentList>
</comments>
</file>

<file path=xl/sharedStrings.xml><?xml version="1.0" encoding="utf-8"?>
<sst xmlns="http://schemas.openxmlformats.org/spreadsheetml/2006/main" count="1788" uniqueCount="715">
  <si>
    <t>M</t>
  </si>
  <si>
    <t>C</t>
  </si>
  <si>
    <t>M2</t>
  </si>
  <si>
    <t>C2</t>
  </si>
  <si>
    <t>C3</t>
  </si>
  <si>
    <t>C4</t>
  </si>
  <si>
    <t>M5</t>
  </si>
  <si>
    <t>M6</t>
  </si>
  <si>
    <t>C1</t>
  </si>
  <si>
    <t>M4</t>
  </si>
  <si>
    <t xml:space="preserve">Investimento </t>
  </si>
  <si>
    <t xml:space="preserve"> 4.3 – Investimenti nella resilienza dell’agrosistema irriguo per una migliore gestione delle risorse idriche.</t>
  </si>
  <si>
    <t>2.3 Programma innovativo della qualità dell'abitare</t>
  </si>
  <si>
    <t>% Lombardia sul totale nazionale</t>
  </si>
  <si>
    <t>Ministero dell’Istruzione, dell’Università e della Ricerca</t>
  </si>
  <si>
    <t>Ministero delle infrastrutture e della Mobilità Sostenibile</t>
  </si>
  <si>
    <t>Dipartimento Protezione civile</t>
  </si>
  <si>
    <t>Dipartimento per gli Affari interni e
territoriali del Ministero dell'interno</t>
  </si>
  <si>
    <t>Ministero delle infrastrutture
e della mobilità sostenibili</t>
  </si>
  <si>
    <t>Ministero dell’Economia e delle Finanze</t>
  </si>
  <si>
    <t>Ministero dell'Interno - Drezione centrale per la finanza locale</t>
  </si>
  <si>
    <t>M1</t>
  </si>
  <si>
    <t>2.2 Tutela e valorizzazione dell’architettura e del paesaggio rurale</t>
  </si>
  <si>
    <t>Ministero della Cultura</t>
  </si>
  <si>
    <t>2.1 Attrattività dei borghi</t>
  </si>
  <si>
    <t>Ministero della Transizione Ecologica</t>
  </si>
  <si>
    <t>Scadenze Nazionali Superbonus</t>
  </si>
  <si>
    <t>1.3 Piano per le infrastrutture per lo sport nelle scuole</t>
  </si>
  <si>
    <t>3.4 Siti orfani</t>
  </si>
  <si>
    <t>Individuati 42 siti orfani</t>
  </si>
  <si>
    <t>Ministero delle Politiche Agricole Alimentari e Forestali</t>
  </si>
  <si>
    <t>PROSSIMI STEP MIPAAF:
Verifica dei progetti candidati al finanziamento ed emanazione dei Decreti di concessione contributi.</t>
  </si>
  <si>
    <t>3.1 “Tutela e valorizzazione del verde urbano ed extraurbano”</t>
  </si>
  <si>
    <t>Decreto 343 del 2 dicembre 2021
Ridurre il divario nei servizi educativi per la prima infanzia e incrementare il numero dei nuovi posti disponibili nella fascia di età 0-6 anni FASCIA 0-2</t>
  </si>
  <si>
    <t>Decreto 343 del 2 dicembre 2021
Ridurre il divario nei servizi educativi per la prima infanzia e incrementare il numero dei nuovi posti disponibili nella fascia di età 0-6 anni FASCIA 3-5</t>
  </si>
  <si>
    <t xml:space="preserve">
Decreto 343 del 2 dicembre 2021
Incrementare le infrastrutture destinate alle mense scolastiche anche per potenziare il tempo pieno
Numero studenti del primo ciclo di istruzione</t>
  </si>
  <si>
    <t>Decreto 343 del 2 dicembre 2021
Favorire le attività sportive e i corretti stili di vita nelle scuole, riducendo il divario
infrastrutturale esistente</t>
  </si>
  <si>
    <t>Decreto 343 del 2 dicembre 2021
Messa in sicurezza e la riqualificazione del patrimonio edilizio scolastico
esistente</t>
  </si>
  <si>
    <t>1.1.1 Sostegno alle capacità genitoriali e prevenzione della vulnerabilità delle famiglie e dei bambinii</t>
  </si>
  <si>
    <t>1.1.2 Autonomia degli anziani non autosufficienti</t>
  </si>
  <si>
    <t xml:space="preserve">1.1.3 Rafforzamento dei servizi sociali domiciliari per garantire la dimissione anticipata assistita e prevenire l’ospedalizzazione </t>
  </si>
  <si>
    <t>1.1.4 Rafforzamento dei servizi sociali e prevenzione del fenomeno del burn out tra gli operatori</t>
  </si>
  <si>
    <t>Decreto 450 del 9 dicembre 2021</t>
  </si>
  <si>
    <t>Ministero del Lavoro e delle Politiche sociali</t>
  </si>
  <si>
    <t>TOTALE ITALIA</t>
  </si>
  <si>
    <t>Il Ministro delle infrastrutture e della mobilità sostenibile</t>
  </si>
  <si>
    <t>Enti di Governo d’Ambito presenti sul territorio nazionale che abbiano affidato il servizio a soggetti legittimati ai sensi dell’art.172 del d.lgs.152/2006</t>
  </si>
  <si>
    <t>Comuni</t>
  </si>
  <si>
    <t>Decreto MiTE n°493 di approvazione del Piano di forestazione urbana (Missione 2, Componente 4, Investimento 3.1) -</t>
  </si>
  <si>
    <t xml:space="preserve"> Città metropolitane (Milano)</t>
  </si>
  <si>
    <t xml:space="preserve">DM 6 agosto 2021  </t>
  </si>
  <si>
    <t>Ambiti Territoriali Sociali ATS</t>
  </si>
  <si>
    <t>M3</t>
  </si>
  <si>
    <t>1.6: Potenziamento delle linee regionali</t>
  </si>
  <si>
    <t>4.2: Sviluppo trasporto rapido di massa</t>
  </si>
  <si>
    <t>1.2:  Linee ad alta velocità nel Nord che collegano all'Europa</t>
  </si>
  <si>
    <t>RFI</t>
  </si>
  <si>
    <t>4.1: Rafforzamento mobilità ciclistica</t>
  </si>
  <si>
    <t>1.  Interventi sulla rete ferroviaria (?)</t>
  </si>
  <si>
    <t>Raddoppio Codogno - Cremona - Mantova 1° fase e anticipazioni opere 2° fase</t>
  </si>
  <si>
    <t>Raddoppio Albairate - Abbiategrasso</t>
  </si>
  <si>
    <t>1.5 Rafforzamento nodi ferroviari metropolitani e collegamenti nazionali chiave</t>
  </si>
  <si>
    <t>Potenziamento linea ponte San Pietro - Bergamo - Montello 1° fase</t>
  </si>
  <si>
    <t>Collegamento ferroviario aeroporto di Bergamo</t>
  </si>
  <si>
    <t>ACC Milano Centrale</t>
  </si>
  <si>
    <t>Infrastrutturazione nuovo terminal intermodale Milano Smistamento</t>
  </si>
  <si>
    <t>Potenziamento tecnoclogico Milano Porta Garibaldi e velocizzazioni</t>
  </si>
  <si>
    <t>Comune di Milano</t>
  </si>
  <si>
    <t>3.3: Rinaturalizzazione dell'area del Po</t>
  </si>
  <si>
    <t>Regione Lombardia</t>
  </si>
  <si>
    <t>Decreto/Atto e specifica</t>
  </si>
  <si>
    <t>Tipologia intervento</t>
  </si>
  <si>
    <t>% M1</t>
  </si>
  <si>
    <t>% M2</t>
  </si>
  <si>
    <t>% M3</t>
  </si>
  <si>
    <t>% M4</t>
  </si>
  <si>
    <t>% M5</t>
  </si>
  <si>
    <t>% M6</t>
  </si>
  <si>
    <t>AIPO, Consorzi di bonifica, soggetti gestori del Servizio Idrico Integrato</t>
  </si>
  <si>
    <t xml:space="preserve">DM 517 del 16.12.21 </t>
  </si>
  <si>
    <t>2.1 “Investimenti in progetti di rigenerazione urbana, volti a ridurre situazioni di
emarginazione e degrado sociale”</t>
  </si>
  <si>
    <t>1.4 Sistema duale</t>
  </si>
  <si>
    <t>Decreto 343 del 2 dicembre 2021
Garantire la realizzazione di scuole innovative dal punto di vista architettonico e strutturale, altamente sostenibili e con il massimo dell’efficienza energetica, inclusive e in grado di garantire una didattica basata su metodologie innovative e una piena fruibilità degli ambienti didattici, mediante sostituzione edilizia di edifici pubblici vetusti, non adeguati sismicamente e non efficienti</t>
  </si>
  <si>
    <t xml:space="preserve">PRG e Stazione di Bergamo </t>
  </si>
  <si>
    <t>Riforma 2.1  Trasferimento della titolarità delle opere d'arte (ponti, viadotti , cavalcavia)</t>
  </si>
  <si>
    <t>ANAS o società concessionarie autostrdali</t>
  </si>
  <si>
    <t>L. 120/2020</t>
  </si>
  <si>
    <t>1.2 Promozione rinnovabili per le comunità energetiche e l'autoconsumo</t>
  </si>
  <si>
    <t>Inv. 1.1 Potenziamento dei CPI</t>
  </si>
  <si>
    <t>Riforma 1.1 Politiche attive del lavoro e formazione</t>
  </si>
  <si>
    <t>Importo LOMBARDIA PNRR</t>
  </si>
  <si>
    <t>Importo ITALIA PNRR</t>
  </si>
  <si>
    <t>DM 142 del 28 gennaio</t>
  </si>
  <si>
    <t>Ministero dell’Istruzione, dell’Università e della Ricerca e Ministero della Salute</t>
  </si>
  <si>
    <t xml:space="preserve"> 4.4.  Rinnovo flotte bus, treni verdi</t>
  </si>
  <si>
    <t>Regione Lombardia / Enti di ricerca  e Università</t>
  </si>
  <si>
    <t>2.1  Ecobonus e sismabonus</t>
  </si>
  <si>
    <r>
      <t xml:space="preserve">Totale risorse di </t>
    </r>
    <r>
      <rPr>
        <b/>
        <u/>
        <sz val="14"/>
        <color rgb="FFFF0000"/>
        <rFont val="Calibri Light"/>
        <family val="2"/>
      </rPr>
      <t xml:space="preserve">Regione Lombardia </t>
    </r>
    <r>
      <rPr>
        <b/>
        <sz val="14"/>
        <color rgb="FFFF0000"/>
        <rFont val="Calibri Light"/>
        <family val="2"/>
      </rPr>
      <t xml:space="preserve"> soggetto attuatore</t>
    </r>
  </si>
  <si>
    <r>
      <t>Percentuale</t>
    </r>
    <r>
      <rPr>
        <b/>
        <u/>
        <sz val="14"/>
        <color rgb="FFFF0000"/>
        <rFont val="Calibri Light"/>
        <family val="2"/>
      </rPr>
      <t xml:space="preserve"> Regione Lombardia</t>
    </r>
    <r>
      <rPr>
        <b/>
        <sz val="14"/>
        <color rgb="FFFF0000"/>
        <rFont val="Calibri Light"/>
        <family val="2"/>
      </rPr>
      <t xml:space="preserve"> sul totale del territorio lombardo</t>
    </r>
  </si>
  <si>
    <r>
      <t>DM 319/2021</t>
    </r>
    <r>
      <rPr>
        <sz val="12"/>
        <color theme="1"/>
        <rFont val="Calibri Light"/>
        <family val="2"/>
      </rPr>
      <t xml:space="preserve"> - Acquisto treni elettrici o idrogeno </t>
    </r>
  </si>
  <si>
    <r>
      <rPr>
        <b/>
        <sz val="12"/>
        <color theme="1"/>
        <rFont val="Calibri Light"/>
        <family val="2"/>
      </rPr>
      <t>Decreto MIMS n.363 del 23/09/2021</t>
    </r>
    <r>
      <rPr>
        <sz val="12"/>
        <color theme="1"/>
        <rFont val="Calibri Light"/>
        <family val="2"/>
      </rPr>
      <t xml:space="preserve"> di riparto delle risorse del </t>
    </r>
    <r>
      <rPr>
        <b/>
        <sz val="12"/>
        <color theme="1"/>
        <rFont val="Calibri Light"/>
        <family val="2"/>
      </rPr>
      <t>Fondo complementare</t>
    </r>
    <r>
      <rPr>
        <sz val="12"/>
        <color theme="1"/>
        <rFont val="Calibri Light"/>
        <family val="2"/>
      </rPr>
      <t xml:space="preserve"> per  potenziamento  ferrovie regionali</t>
    </r>
    <r>
      <rPr>
        <b/>
        <sz val="12"/>
        <color theme="1"/>
        <rFont val="Calibri Light"/>
        <family val="2"/>
      </rPr>
      <t xml:space="preserve"> </t>
    </r>
  </si>
  <si>
    <r>
      <rPr>
        <b/>
        <sz val="12"/>
        <color theme="1"/>
        <rFont val="Calibri Light"/>
        <family val="2"/>
      </rPr>
      <t>DM 229  del 6 agosto 2021</t>
    </r>
    <r>
      <rPr>
        <sz val="12"/>
        <color theme="1"/>
        <rFont val="Calibri Light"/>
        <family val="2"/>
      </rPr>
      <t xml:space="preserve"> - Edilizia Sanitaria </t>
    </r>
  </si>
  <si>
    <r>
      <rPr>
        <b/>
        <sz val="12"/>
        <color theme="1"/>
        <rFont val="Calibri Light"/>
        <family val="2"/>
      </rPr>
      <t>DM 229 del 6 agosto 2021</t>
    </r>
    <r>
      <rPr>
        <sz val="12"/>
        <color theme="1"/>
        <rFont val="Calibri Light"/>
        <family val="2"/>
      </rPr>
      <t xml:space="preserve"> - Edilizia Sanitaria </t>
    </r>
  </si>
  <si>
    <t>Comune di Brescia</t>
  </si>
  <si>
    <t>Provincia di Bergamo</t>
  </si>
  <si>
    <t>3.3 Piano di messa in sicurezza e riqualificazione delle scuole</t>
  </si>
  <si>
    <t>1.1  Piano di sostituzione di edific scolastici e di riqualificazione energetica  scuole</t>
  </si>
  <si>
    <t>1.1  Piano per asili nido e scuole per l'infanzia; scuole</t>
  </si>
  <si>
    <t>1.1  Piano per asili nido e scuole per l'infanzia scuole</t>
  </si>
  <si>
    <t>TITOLO MISSIONE</t>
  </si>
  <si>
    <t>TITOLO COMPONENTE</t>
  </si>
  <si>
    <t>Digitalizzazione, innovazione, competitività, cultura e turismo</t>
  </si>
  <si>
    <t>Turismo e cultura 4.0</t>
  </si>
  <si>
    <t>Rivoluzione verde e transizione ecologica</t>
  </si>
  <si>
    <t>Energia rinnovabile, idrogeno, rete e mobilità sostenibile</t>
  </si>
  <si>
    <t>Efficienza energetica e riqualificazione degli edifici</t>
  </si>
  <si>
    <t>Tutela del territorio e della risorsa idrica</t>
  </si>
  <si>
    <t>Infrastrutture per una mobilità sostenibile</t>
  </si>
  <si>
    <t>Investimenti sulla rete ferroviaria</t>
  </si>
  <si>
    <t>Istruzione e ricerca</t>
  </si>
  <si>
    <t>Potenziamento dell’offerta dei servizi di istruzione: dagli asili nido alle università</t>
  </si>
  <si>
    <t>Coesione e inclusione</t>
  </si>
  <si>
    <t>Politiche per il lavoro</t>
  </si>
  <si>
    <t>Interventi speciali per la coesione territoriale</t>
  </si>
  <si>
    <t>Salute</t>
  </si>
  <si>
    <t>Innovazione, ricerca e digitalizzazione del servizio sanitario nazionale</t>
  </si>
  <si>
    <r>
      <rPr>
        <b/>
        <sz val="12"/>
        <color theme="1"/>
        <rFont val="Calibri Light"/>
        <family val="2"/>
      </rPr>
      <t>DM 448 del 16 novembre 2021</t>
    </r>
    <r>
      <rPr>
        <sz val="12"/>
        <color theme="1"/>
        <rFont val="Calibri Light"/>
        <family val="2"/>
      </rPr>
      <t xml:space="preserve"> Linee TPL Milano (tramvia, filovia, …)</t>
    </r>
  </si>
  <si>
    <t>MEDIA % di risorse assegnate alla LOMBARDIA sul totale italiano</t>
  </si>
  <si>
    <t xml:space="preserve">% Risorse M1 Lombardia sul totale Italia </t>
  </si>
  <si>
    <t xml:space="preserve">% Risorse M2 Lombardia sul totale Italia </t>
  </si>
  <si>
    <t>% Risorse M3 Lombardia sul totale Italia s</t>
  </si>
  <si>
    <t xml:space="preserve">% Risorse M4 Lombardia sul totale Italia </t>
  </si>
  <si>
    <t xml:space="preserve">% Risorse M5 Lombardia sul totale Italia </t>
  </si>
  <si>
    <t xml:space="preserve">% Risorse M6 Lombardia sul totale Italia </t>
  </si>
  <si>
    <t>% Risorse M1 Lombardia sul totale Italia con ripartizione lombarda definita</t>
  </si>
  <si>
    <t>% Risorse M2 Lombardia sul totale Italia con ripartizione lombarda definita</t>
  </si>
  <si>
    <t>% Risorse M3 Lombardia sul totale Italia con ripartizione lombarda definita</t>
  </si>
  <si>
    <t xml:space="preserve">% Risorse M4 Lombardia sul totale Italia con  ripartizione  lombarda definita </t>
  </si>
  <si>
    <t>% Risorse M5 Lombardia sul totale Italia con  ripartizione lombarda definita</t>
  </si>
  <si>
    <t>% Risorse M6 Lombardia sul totale Italia con  ripartizione lombarda definita</t>
  </si>
  <si>
    <r>
      <t xml:space="preserve">Somma risorse Italia PNRR + F.C. di cui una parte ricade o potrà ricadere  sul territorio lombardo </t>
    </r>
    <r>
      <rPr>
        <b/>
        <i/>
        <sz val="11"/>
        <color theme="1"/>
        <rFont val="Calibri Light"/>
        <family val="2"/>
      </rPr>
      <t>(con e senza ripartizione lombarda)</t>
    </r>
  </si>
  <si>
    <r>
      <t xml:space="preserve">Somma risorse Italia PNRR + F.C. di cui una parte ricadrà di certo in Lombardia </t>
    </r>
    <r>
      <rPr>
        <b/>
        <i/>
        <sz val="11"/>
        <color rgb="FFFF0000"/>
        <rFont val="Calibri Light"/>
        <family val="2"/>
      </rPr>
      <t>(ripartizione territoriale lombarda definita)</t>
    </r>
  </si>
  <si>
    <t>3.4  Sperimentazione dell'idrogeno per il trasporto ferroviario</t>
  </si>
  <si>
    <t xml:space="preserve">5.3 Bus elettrici </t>
  </si>
  <si>
    <r>
      <rPr>
        <b/>
        <sz val="12"/>
        <color theme="1"/>
        <rFont val="Calibri Light"/>
        <family val="2"/>
      </rPr>
      <t>DM 509 del 15 dicembre 202</t>
    </r>
    <r>
      <rPr>
        <sz val="12"/>
        <color theme="1"/>
        <rFont val="Calibri Light"/>
        <family val="2"/>
      </rPr>
      <t xml:space="preserve">1 Mobilità ciclistica urbana </t>
    </r>
  </si>
  <si>
    <t xml:space="preserve">Risorse Italia da PNRR + Fondo Complementare </t>
  </si>
  <si>
    <t>4.2 Riduzione delle perdite nelle reti di distribuzione dell’acqua,
compresa la digitalizzazione e il monitoraggio delle reti (idrogeologico)</t>
  </si>
  <si>
    <t>4.1 “Investimenti in infrastrutture idriche primarie per la sicurezza dell'approvvigionamento idrico”   (idrogeologico)</t>
  </si>
  <si>
    <t>4.4 - Investimenti in fognatura a depurazione (idrogeologico)</t>
  </si>
  <si>
    <t>Digitalizzazione, Innovazione e Sicurezza nella PA</t>
  </si>
  <si>
    <t>2.2 : Task force digitalizzazione, monitoraggio e performance</t>
  </si>
  <si>
    <t>Dipartimento Funzione Pubblica</t>
  </si>
  <si>
    <t>2.2 interventi per la resilienza, la valorizzazione del territorio e l’efficienza energetica dei comuni</t>
  </si>
  <si>
    <t>Rinnovo flotte bus, treni verdi</t>
  </si>
  <si>
    <t>LOMBARDIA: PRINCIPALI SINTESI TEMATICHE</t>
  </si>
  <si>
    <r>
      <t xml:space="preserve">Sanità </t>
    </r>
    <r>
      <rPr>
        <b/>
        <sz val="14"/>
        <color rgb="FFFF0000"/>
        <rFont val="Calibri Light"/>
        <family val="2"/>
      </rPr>
      <t>M6C1 C2</t>
    </r>
  </si>
  <si>
    <r>
      <t>Edilizia scolastica</t>
    </r>
    <r>
      <rPr>
        <b/>
        <sz val="14"/>
        <color rgb="FFFF0000"/>
        <rFont val="Calibri Light"/>
        <family val="2"/>
      </rPr>
      <t xml:space="preserve"> (M2C3 1.1 - M4C1)</t>
    </r>
  </si>
  <si>
    <r>
      <t xml:space="preserve">Aree interne  </t>
    </r>
    <r>
      <rPr>
        <b/>
        <sz val="14"/>
        <color rgb="FFFF0000"/>
        <rFont val="Calibri Light"/>
        <family val="2"/>
      </rPr>
      <t>(M5C3)</t>
    </r>
  </si>
  <si>
    <r>
      <t xml:space="preserve">Politiche per il lavoro </t>
    </r>
    <r>
      <rPr>
        <b/>
        <sz val="14"/>
        <color rgb="FFFF0000"/>
        <rFont val="Calibri Light"/>
        <family val="2"/>
      </rPr>
      <t>M5C1</t>
    </r>
  </si>
  <si>
    <r>
      <t xml:space="preserve">Trasporto di massa </t>
    </r>
    <r>
      <rPr>
        <b/>
        <sz val="14"/>
        <color rgb="FFFF0000"/>
        <rFont val="Calibri Light"/>
        <family val="2"/>
      </rPr>
      <t>M2C2 4.2</t>
    </r>
  </si>
  <si>
    <t>TOTALE LOMBARDIA</t>
  </si>
  <si>
    <r>
      <rPr>
        <b/>
        <sz val="12"/>
        <color theme="1"/>
        <rFont val="Calibri Light"/>
        <family val="2"/>
      </rPr>
      <t>Fondo Complementare -</t>
    </r>
    <r>
      <rPr>
        <sz val="12"/>
        <color theme="1"/>
        <rFont val="Calibri Light"/>
        <family val="2"/>
      </rPr>
      <t xml:space="preserve"> PROGETTO: ECOSISTEMA INNOVATIVO DELLA SALUTE</t>
    </r>
  </si>
  <si>
    <r>
      <t xml:space="preserve">Attrattività borghi e valorizzazione rurale </t>
    </r>
    <r>
      <rPr>
        <b/>
        <sz val="14"/>
        <color rgb="FFFF0000"/>
        <rFont val="Calibri Light"/>
        <family val="2"/>
      </rPr>
      <t>M1C3</t>
    </r>
  </si>
  <si>
    <r>
      <t>Investimenti sulla rete ferroviaria</t>
    </r>
    <r>
      <rPr>
        <b/>
        <sz val="14"/>
        <color rgb="FFFF0000"/>
        <rFont val="Calibri Light"/>
        <family val="2"/>
      </rPr>
      <t xml:space="preserve"> (M3C1)</t>
    </r>
  </si>
  <si>
    <r>
      <t xml:space="preserve">Politiche sociali Lombardia </t>
    </r>
    <r>
      <rPr>
        <b/>
        <sz val="14"/>
        <color rgb="FFFF0000"/>
        <rFont val="Calibri Light"/>
        <family val="2"/>
      </rPr>
      <t>(Ambiti Territoriali Sociali)</t>
    </r>
    <r>
      <rPr>
        <b/>
        <sz val="14"/>
        <color theme="1"/>
        <rFont val="Calibri Light"/>
        <family val="2"/>
      </rPr>
      <t xml:space="preserve"> </t>
    </r>
    <r>
      <rPr>
        <b/>
        <sz val="14"/>
        <color rgb="FFFF0000"/>
        <rFont val="Calibri Light"/>
        <family val="2"/>
      </rPr>
      <t>M5C1 1.1</t>
    </r>
  </si>
  <si>
    <t xml:space="preserve">DM 6 agosto 2021 e DM 152 del 6 novembre 2021 - Art. 21  Piani Integrati per la rigenerazione urbana </t>
  </si>
  <si>
    <r>
      <t xml:space="preserve">Rigenerazione urbana </t>
    </r>
    <r>
      <rPr>
        <b/>
        <sz val="14"/>
        <color rgb="FFFF0000"/>
        <rFont val="Calibri Light"/>
        <family val="2"/>
      </rPr>
      <t>M5C2 2.1 , 2.2  (Milano)</t>
    </r>
  </si>
  <si>
    <t xml:space="preserve">2.2  Piani Integrati
rigenerazione urbana </t>
  </si>
  <si>
    <t>in definizione</t>
  </si>
  <si>
    <r>
      <rPr>
        <b/>
        <sz val="12"/>
        <color theme="1"/>
        <rFont val="Calibri Light"/>
        <family val="2"/>
      </rPr>
      <t>DI 23 dicembre 2021, n. 530</t>
    </r>
    <r>
      <rPr>
        <sz val="12"/>
        <color theme="1"/>
        <rFont val="Calibri Light"/>
        <family val="2"/>
      </rPr>
      <t xml:space="preserve"> - Rinnovo parco autobus (urbani)- 
4.4.1 - decreto relativo al rinnovo del parco autobus regionale per il trasporto pubblico con veicoli a combustibili puliti</t>
    </r>
  </si>
  <si>
    <t>Investimento 1.7 Elettrificazione e aumento della resilienza</t>
  </si>
  <si>
    <t>Elettrificazione Como - Molteno - Lecco</t>
  </si>
  <si>
    <t>Elettrificazione Milano Smistastamento - Brescia, Lonato</t>
  </si>
  <si>
    <t>ACC di Milano Certosa</t>
  </si>
  <si>
    <t xml:space="preserve">Quadruplicamento Tortona- Voghera </t>
  </si>
  <si>
    <r>
      <t>Pavia - Milano - Rogoredo</t>
    </r>
    <r>
      <rPr>
        <b/>
        <sz val="12"/>
        <color rgb="FFFF0000"/>
        <rFont val="Calibri Light"/>
        <family val="2"/>
      </rPr>
      <t xml:space="preserve"> (quota di 3.970 mln€)</t>
    </r>
  </si>
  <si>
    <r>
      <t xml:space="preserve">Brescia - Verona </t>
    </r>
    <r>
      <rPr>
        <b/>
        <sz val="12"/>
        <color rgb="FFFF0000"/>
        <rFont val="Calibri Light"/>
        <family val="2"/>
      </rPr>
      <t>(quota di 3.670 mln€)</t>
    </r>
  </si>
  <si>
    <r>
      <t xml:space="preserve">Potenziamento tecnologico Torino -Padova </t>
    </r>
    <r>
      <rPr>
        <b/>
        <sz val="12"/>
        <color rgb="FFFF0000"/>
        <rFont val="Calibri Light"/>
        <family val="2"/>
      </rPr>
      <t>Quota di 34.970.000  euro</t>
    </r>
  </si>
  <si>
    <r>
      <t xml:space="preserve">Velocizzazione Milano- Genova 1 fase
</t>
    </r>
    <r>
      <rPr>
        <b/>
        <sz val="12"/>
        <color rgb="FFFF0000"/>
        <rFont val="Calibri Light"/>
        <family val="2"/>
      </rPr>
      <t>Quota di 43.940.000</t>
    </r>
  </si>
  <si>
    <r>
      <t xml:space="preserve">Completamento velocizzazione Milano- Genova 
</t>
    </r>
    <r>
      <rPr>
        <b/>
        <sz val="12"/>
        <color rgb="FFFF0000"/>
        <rFont val="Calibri Light"/>
        <family val="2"/>
      </rPr>
      <t>Quota di 16.580.000</t>
    </r>
  </si>
  <si>
    <t>Intermodalità e logistica integrata</t>
  </si>
  <si>
    <t>Investimento 2.2</t>
  </si>
  <si>
    <r>
      <t xml:space="preserve">GREEN INFRASTRUCTURE: AMAN Extended Horizon (Lazio e Lombardia)
</t>
    </r>
    <r>
      <rPr>
        <b/>
        <sz val="12"/>
        <color rgb="FFFF0000"/>
        <rFont val="Calibri Light"/>
        <family val="2"/>
      </rPr>
      <t>Quota di 7.670.000 euro</t>
    </r>
  </si>
  <si>
    <t>Edilizia penitenziaria - VIGEVANO
Miglioramento degli spazi e della qualità della vita carceraria nelle cariceri per adulti (DAP), attraverso la costruzione di un padiglione "modello" (in totale, a livello nazionale, i padiglioni sono otto) di detenzione tra cui sale e spazi di riabilitazioni</t>
  </si>
  <si>
    <r>
      <t xml:space="preserve">Misure per la gestione del rischio di alluvione e per la riduzione del rischio idrogeologico e approvvigionamento idrico </t>
    </r>
    <r>
      <rPr>
        <b/>
        <sz val="14"/>
        <color rgb="FFFF0000"/>
        <rFont val="Calibri Light"/>
        <family val="2"/>
      </rPr>
      <t>(M2C4 2.1; 4.1)</t>
    </r>
  </si>
  <si>
    <t>AIPO</t>
  </si>
  <si>
    <t>Le risorse PNRR sono legate al raddoppio degli studenti e al potenziamento dei laboratori, non sostituiscono quindi le risorse FSE per sviluppo già in atto del sistema ITS lombardo.</t>
  </si>
  <si>
    <t>Non ancora adottato l'atto di riparto.
A breve verrà approvata la legge di riforma a cui dovranno seguire circa 18 decreti attuativi. Deve essere ancora stabilità la modalità di utilizzo delle risorse e il riparto tra le Regioni.</t>
  </si>
  <si>
    <t>1) entro il 31/12/2022
2) entro il 31/12/2025</t>
  </si>
  <si>
    <t>IL DM non è ancora stato emanato. Con DECRETO 5 novembre 2021 "Adozione del Programma nazionale per la garanzia di occupabilità dei lavoratori (GOL)" si specifica che sono previsti in PNRR 600 milioni, di cui 400 milioni su progetti in essere che sono una parte dei 467,2 milioni per il 2019 e 403,1 milioni per il 2020 previsti sul Piano Potenziamento dei CPI (DM 74/2019 e DM 59/2020) a cui si aggiungono 200 milioni ulteriori.</t>
  </si>
  <si>
    <t>DPCM 4 novembre 2021</t>
  </si>
  <si>
    <t>2.1 “Investimenti in progetti di , volti a ridurre situazioni di
emarginazione e degrado sociale”</t>
  </si>
  <si>
    <t>Investimenti sulla rete ferroviaria (M3C1)</t>
  </si>
  <si>
    <t>Trasporto di massa M2C2 4.2</t>
  </si>
  <si>
    <t>Edilizia scolastica (M2C3 1.1 - M4C1)</t>
  </si>
  <si>
    <t>Politiche abitative Lombardia  - FC+PINQUA (RL+Altri)</t>
  </si>
  <si>
    <t>Misure per la gestione del rischio di alluvione e per la riduzione del rischio idrogeologico e approvvigionamento idrico (M2C4 2.1; 4.1)</t>
  </si>
  <si>
    <t>Politiche sociali Lombardia (Ambiti Territoriali Sociali) M5C1 1.1</t>
  </si>
  <si>
    <t>Politiche per il lavoro M5C1</t>
  </si>
  <si>
    <t>Rigenerazione urbana M5C2 2.1 , 2.2  (Milano)</t>
  </si>
  <si>
    <t>Aree interne  (M5C3)</t>
  </si>
  <si>
    <t>Sanità M6C1 C2</t>
  </si>
  <si>
    <t>Attrattività borghi e valorizzazione rurale M1C3</t>
  </si>
  <si>
    <t xml:space="preserve">Edilizia carceraria </t>
  </si>
  <si>
    <t>soggetti aggregatori di strategie di intervento coordinate con i Comuni;
Città Metropolitane;
Comuni sede di Città Metropolitane;
Comuni capoluoghi di provincia;
Comuni con più di 60.000 abitanti;</t>
  </si>
  <si>
    <t xml:space="preserve">1.4 Servizi digitali e cittadinanza digitale </t>
  </si>
  <si>
    <t>Note Importo Lombardia</t>
  </si>
  <si>
    <t>1.4.6 Mobility as a Service for Italy</t>
  </si>
  <si>
    <t>1.3 Ecoefficienza e riduzione dei consumi energetici nelle
sale teatrali e nei cinema</t>
  </si>
  <si>
    <t>Soggetti pubblici o privati</t>
  </si>
  <si>
    <t>DM 1972 del 22 dicembre 2021</t>
  </si>
  <si>
    <t>2.3 Restauro e valorizzazione parchi e giardini</t>
  </si>
  <si>
    <t>Digitalizzazione, Innovazione e competitività nel sistema produttivo</t>
  </si>
  <si>
    <t>3 Reti ultraveloci</t>
  </si>
  <si>
    <t>Bando Infratel  del 14 gennaio 2022</t>
  </si>
  <si>
    <t>Operatori economici</t>
  </si>
  <si>
    <t>MITD</t>
  </si>
  <si>
    <t>3.3 Scuole connesse</t>
  </si>
  <si>
    <t>3.4 Sanità connessa</t>
  </si>
  <si>
    <t>MISE</t>
  </si>
  <si>
    <t>https://media.beniculturali.it/mibac/files/boards/388a5474724a15af0ace7a40ab3301de/SG/PNRR%20Intervento%202.3%20-%20Avviso_Parchi-Giardini+Allegato-signed-signed.pdf</t>
  </si>
  <si>
    <t>Procedura Infratel
https://www.infratelitalia.it/archivio-documenti/documenti/gara-scuole-2022</t>
  </si>
  <si>
    <t>Procedura Infratel  https://www.infratelitalia.it/archivio-documenti/documenti/gara-sanita-2022</t>
  </si>
  <si>
    <t xml:space="preserve">Note </t>
  </si>
  <si>
    <t>Digitalizzazione</t>
  </si>
  <si>
    <t>Task force  monitoraggio e performance M1C1</t>
  </si>
  <si>
    <r>
      <t xml:space="preserve">Task force monitoraggio e performance </t>
    </r>
    <r>
      <rPr>
        <b/>
        <sz val="14"/>
        <color rgb="FFFF0000"/>
        <rFont val="Calibri Light"/>
        <family val="2"/>
      </rPr>
      <t>M1C1</t>
    </r>
  </si>
  <si>
    <t>3.1 Produzione di idrogeno verde in aree industriali dismesse</t>
  </si>
  <si>
    <t>Avviso pubblico 27509 del 15/12/2021 pubblicato sulla G.U. del 27 gennaio 2022</t>
  </si>
  <si>
    <t xml:space="preserve">1) maggio 2022 .
2) Milestone PNRR: 30 marzo 2023 - </t>
  </si>
  <si>
    <t>1) pubblicazione graduatoria beneficiari contributo
2) aggiudicazione gare</t>
  </si>
  <si>
    <t>Risorse da Bilancio RL
BANDO BIO-CLIMA</t>
  </si>
  <si>
    <t>Aipo</t>
  </si>
  <si>
    <t>Siti orfani</t>
  </si>
  <si>
    <t>Economia circolare e agricoltura sostenibile</t>
  </si>
  <si>
    <t>D.M. 396/2021 + avviso pubblico del 15/10/2021</t>
  </si>
  <si>
    <t>D.M. 397/2021 + avviso pubblico del 15/10/2021</t>
  </si>
  <si>
    <t>Imprese</t>
  </si>
  <si>
    <t>1.1 Realizzazione nuovi impianti gestione rifiuti ammodernamento esistenti</t>
  </si>
  <si>
    <t>1.2 realizzazione di progetti “faro” di economia circolare</t>
  </si>
  <si>
    <t xml:space="preserve"> Potenziamento Rho-Gallarate Prima fase</t>
  </si>
  <si>
    <t xml:space="preserve">PRG Brescia Scalo </t>
  </si>
  <si>
    <t xml:space="preserve">Potenziamento tecnologico e infrastrutturale impianto Gallarate </t>
  </si>
  <si>
    <t>DM non ancora emanato</t>
  </si>
  <si>
    <t xml:space="preserve">
Decreto del MiC di assegnazione delle risorse  per riqualificazione giardini storici e parchi, da emanare entro il 30/06/2022 (190.000.000,00 €)</t>
  </si>
  <si>
    <t xml:space="preserve">300.000.000 €, di cui 100.000.000 € destinati a 5 parchi 
già scelti dal MiC, 10.000.000 € per catalogazione giardini e formazione giardinieri d'arte e 
190.000.000 € messi a bando per riqualificazione di giardini e parchi </t>
  </si>
  <si>
    <r>
      <rPr>
        <b/>
        <sz val="12"/>
        <color theme="1"/>
        <rFont val="Rockwell"/>
        <family val="2"/>
        <scheme val="minor"/>
      </rPr>
      <t xml:space="preserve">
entro 15/03/2022: scadenza per presentazione domande
entro 30/06/2022: entrata in vigore del decreto del MiC per l'assegnazione delle risorse
30/06/2026</t>
    </r>
    <r>
      <rPr>
        <sz val="12"/>
        <color theme="1"/>
        <rFont val="Rockwell"/>
        <family val="2"/>
        <scheme val="minor"/>
      </rPr>
      <t>: fine degli interventi</t>
    </r>
  </si>
  <si>
    <t>1.2 Rimozione delle barriere fisiche e cognitive in musei, biblioteche e archivi per consentire un più ampio accesso e partecipazione alla cultura</t>
  </si>
  <si>
    <t>L'eventuale ruolo delle Regioni non è ancora stato definito</t>
  </si>
  <si>
    <r>
      <rPr>
        <b/>
        <sz val="12"/>
        <color theme="1"/>
        <rFont val="Rockwell"/>
        <family val="2"/>
        <scheme val="minor"/>
      </rPr>
      <t>Il MiC monitorerà l'attuazione e sarà responsabile delle attività di monitoraggio e rendicontazione.</t>
    </r>
    <r>
      <rPr>
        <sz val="12"/>
        <color theme="1"/>
        <rFont val="Rockwell"/>
        <family val="2"/>
        <scheme val="minor"/>
      </rPr>
      <t xml:space="preserve"> 
</t>
    </r>
    <r>
      <rPr>
        <b/>
        <sz val="12"/>
        <color theme="1"/>
        <rFont val="Rockwell"/>
        <family val="2"/>
        <scheme val="minor"/>
      </rPr>
      <t>L'individuazione delle istituzioni non statali sarà effettuata mediante bandi di gara.</t>
    </r>
    <r>
      <rPr>
        <sz val="12"/>
        <color theme="1"/>
        <rFont val="Rockwell"/>
        <family val="2"/>
        <scheme val="minor"/>
      </rPr>
      <t xml:space="preserve">
L'investimento è costituito da quattro componenti:
1. Elaborazione di un piano strategico per l'eliminazione delle barriere architettoniche sensoriali, culturali e cognitive (PEBA) nei siti culturali (circa il 2% delle risorse);
2. Progettazione e attuazione di interventi volti a rimuovere le stesse barriere (circa l’85% delle risorse); 
3. Creazione di un sistema informativo per fornire informazioni circa l'accessibilità dei luoghi culturali (circa l’11% delle risorse); 
4. Programma di sviluppo delle capacità, formazione dei professionisti del patrimonio culturale all'uso e all'attuazione efficace delle misure adottate (circa il 2% delle risorse).
</t>
    </r>
  </si>
  <si>
    <t>5.2  “Competitività e resilienza delle filiere produttive</t>
  </si>
  <si>
    <t>DM 13 gennaio 2022</t>
  </si>
  <si>
    <t>Lotto 2: Lombardia: CIG 9071195AEA, importo a base di gara: euro 21.491.729, di cui oneri di sicurezza: euro 105.897,92, di cui fornitura: euro 13.275.729, di cui servizi: euro 8.216.000, per n. scuole: 1264.</t>
  </si>
  <si>
    <t>Fondazioni</t>
  </si>
  <si>
    <r>
      <t xml:space="preserve">DM 25 agosto 2021 - </t>
    </r>
    <r>
      <rPr>
        <sz val="12"/>
        <color theme="1"/>
        <rFont val="Calibri Light"/>
        <family val="2"/>
      </rPr>
      <t>Contributi ai comuni per la realizzazione di opere pubbliche per la messa in sicurezza di edifici e del territorio</t>
    </r>
    <r>
      <rPr>
        <b/>
        <sz val="12"/>
        <color theme="1"/>
        <rFont val="Calibri Light"/>
        <family val="2"/>
      </rPr>
      <t xml:space="preserve">
Per medie opere: DM 8 novembre 2021 + 23 febbraio 2021
Piccole opere: DM 14 gennaio 30 gennaio + 11 novembre.</t>
    </r>
  </si>
  <si>
    <t>Parco del Mincio</t>
  </si>
  <si>
    <t>Edilizia scolastica</t>
  </si>
  <si>
    <t xml:space="preserve">Sanità </t>
  </si>
  <si>
    <t xml:space="preserve">Rafforzamento mobilità ciclistica </t>
  </si>
  <si>
    <t>Politiche sociali Lombardia</t>
  </si>
  <si>
    <t xml:space="preserve">Politiche per il lavoro </t>
  </si>
  <si>
    <t xml:space="preserve">Aree interne  </t>
  </si>
  <si>
    <t xml:space="preserve">Misure per la gestione del rischio di alluvione e per la riduzione del rischio idrogeologico e approvvigionamento idrico </t>
  </si>
  <si>
    <r>
      <t>Investimenti sulla rete ferroviaria</t>
    </r>
    <r>
      <rPr>
        <b/>
        <sz val="14"/>
        <color rgb="FFFF0000"/>
        <rFont val="Calibri Light"/>
        <family val="2"/>
      </rPr>
      <t xml:space="preserve"> </t>
    </r>
  </si>
  <si>
    <t xml:space="preserve">Trasporto di massa </t>
  </si>
  <si>
    <t xml:space="preserve">Attrattività borghi e valorizzazione rurale </t>
  </si>
  <si>
    <t xml:space="preserve">Task force monitoraggio e performance </t>
  </si>
  <si>
    <r>
      <t>Rigenerazione urbana</t>
    </r>
    <r>
      <rPr>
        <b/>
        <sz val="14"/>
        <color rgb="FFFF0000"/>
        <rFont val="Calibri Light"/>
        <family val="2"/>
      </rPr>
      <t xml:space="preserve"> </t>
    </r>
    <r>
      <rPr>
        <b/>
        <sz val="14"/>
        <rFont val="Calibri Light"/>
        <family val="2"/>
      </rPr>
      <t>(Milano)</t>
    </r>
  </si>
  <si>
    <t>Non è stata ancora definita la modalità di identificazione delle Regioni che attueranno la formazione dei giardinieri. L'importo potrebbe essere di ca. 1.000.000 €
Regione Lombardia ha approvato le seguenti DGR: 6111 per il Comune di Monza - 2mln di euro; 6112 per il Consorzio villa reale - 2 mln ; 6124 Autodromo- 2.344.840,00  
per le proposte di finanziamento</t>
  </si>
  <si>
    <t xml:space="preserve"> 4.4..2  Rinnovo flotte bus, treni verdi</t>
  </si>
  <si>
    <t xml:space="preserve"> 4.4.1 Rinnovo flotte bus, treni verdi
</t>
  </si>
  <si>
    <r>
      <rPr>
        <b/>
        <sz val="12"/>
        <color theme="1"/>
        <rFont val="Calibri Light"/>
        <family val="2"/>
      </rPr>
      <t>DM 448 del 16 novembre 2021</t>
    </r>
    <r>
      <rPr>
        <sz val="12"/>
        <color theme="1"/>
        <rFont val="Calibri Light"/>
        <family val="2"/>
      </rPr>
      <t xml:space="preserve"> LINEA TRANVIARIA T2 DELLA VALLE </t>
    </r>
    <r>
      <rPr>
        <b/>
        <sz val="12"/>
        <color theme="1"/>
        <rFont val="Calibri Light"/>
        <family val="2"/>
      </rPr>
      <t>BREMBANA</t>
    </r>
    <r>
      <rPr>
        <sz val="12"/>
        <color theme="1"/>
        <rFont val="Calibri Light"/>
        <family val="2"/>
      </rPr>
      <t xml:space="preserve">, BERGAMO - VILLA
D'ALMÈ </t>
    </r>
  </si>
  <si>
    <r>
      <t xml:space="preserve">Tramvia </t>
    </r>
    <r>
      <rPr>
        <b/>
        <sz val="12"/>
        <color theme="1"/>
        <rFont val="Calibri Light"/>
        <family val="2"/>
      </rPr>
      <t>Brescia</t>
    </r>
    <r>
      <rPr>
        <sz val="12"/>
        <color theme="1"/>
        <rFont val="Calibri Light"/>
        <family val="2"/>
      </rPr>
      <t xml:space="preserve"> Pendolina - Fiera T2</t>
    </r>
  </si>
  <si>
    <t>2.1 .b Misure per la gestione del rischio di alluvione e per la riduzione del rischio idrogeologico</t>
  </si>
  <si>
    <t>2.1.b  Misure per la gestione del rischio di alluvione e per la riduzione del rischio idrogeologico</t>
  </si>
  <si>
    <r>
      <t xml:space="preserve">DM 6 agosto 2021 </t>
    </r>
    <r>
      <rPr>
        <b/>
        <sz val="12"/>
        <color rgb="FFFF0000"/>
        <rFont val="Calibri Light"/>
        <family val="2"/>
      </rPr>
      <t xml:space="preserve">(PROGETTI IN ESSERE) </t>
    </r>
  </si>
  <si>
    <r>
      <t xml:space="preserve">DM 6 agosto 2021 e DM 152 del 6 novembre 2021 </t>
    </r>
    <r>
      <rPr>
        <b/>
        <sz val="12"/>
        <color rgb="FFFF0000"/>
        <rFont val="Calibri Light"/>
        <family val="2"/>
      </rPr>
      <t>(NUOVI PROGETTI)</t>
    </r>
    <r>
      <rPr>
        <b/>
        <sz val="12"/>
        <color theme="1"/>
        <rFont val="Calibri Light"/>
        <family val="2"/>
      </rPr>
      <t xml:space="preserve"> </t>
    </r>
  </si>
  <si>
    <t>Province/Comuni</t>
  </si>
  <si>
    <t>2.1.a Misure per la gestione del rischio di alluvione e per la riduzione del rischio idrogeologico</t>
  </si>
  <si>
    <t xml:space="preserve">Soggetti pubblici o privati
(Comune di Monza 
Autodromo
Consorzio Villa Reale) </t>
  </si>
  <si>
    <t xml:space="preserve"> 30 settembre
2023
31 marzo 2024
31 marzo 2026,
</t>
  </si>
  <si>
    <t>il termine per l’affidamento dei lavori, che coincide con la data di stipulazione
del contratto, è da considerare per tutti gli enti beneficiari il 30 settembre
2023
l 31 marzo 2024 entro il quale i Comuni
beneficiari dovranno aver realizzato almeno una percentuale pari al 30% delle
opere, pena la revoca totale del contributo assegnato
Il termine finale, entro il quale dovrà essere trasmesso il certificato di regolare
esecuzione ovvero il certificato di collaudo rilasciato per i lavori dal direttore
dei lavori, è il 31 marzo 2026</t>
  </si>
  <si>
    <t>DM 30 dicembre 2021
rigenerazione
Comuni beneficiari del contributo previsto dall’articolo 1, commi 42 e seguenti, della legge 27 dicembre 2019, n.160 e dal DPCM del 21 gennaio 2021.
Progetti già individuati e confluiti nel PNRR</t>
  </si>
  <si>
    <t xml:space="preserve">
Entro settembre 2023 devono essere aggiudicati tutti gli appalti pubblici per nuove sostituzioni di edifici scolastici.
Entro marzo 2026 dovranno essere invece ultimati i 400.000 mq di nuove scuole realizzate mediante sostituzione edilizia</t>
  </si>
  <si>
    <t>settembre 2023
marzo 2026</t>
  </si>
  <si>
    <t>Entro fine 2023 si prevede l’aggiudicazione di tutti gli appalti pubblici per la realizzazione di piste ciclabili e la realizzazione di almeno 200 km di nuove piste ciclabili in aree urbane e metropolitane. 
Entro il 30 giugno 2026 deve essere raggiunto gli obiettivi obbligatori, previsti dal PNRR, pari ad almeno 365 km aggiuntivi di piste ciclabili.</t>
  </si>
  <si>
    <t xml:space="preserve">1.2 percorsi di autonomia persone con disabilità </t>
  </si>
  <si>
    <t xml:space="preserve">1.3 povertà estrema.
Housing first </t>
  </si>
  <si>
    <t>1.3 povertà estrema.
Centri servizi</t>
  </si>
  <si>
    <t>1) manifestazioni di interesse degli ATS a presentare progetti verso RL e comunicazione al ministero
2) bando ministeriale (bando unico)
3) attivazione  progetti</t>
  </si>
  <si>
    <t>1) 31 gennaio
2)dal 15 febbraio al 31 marzo
3)giugno 2022 con termine entro il primo semestre 2026</t>
  </si>
  <si>
    <r>
      <t>DM 7 ottobre 2021 -</t>
    </r>
    <r>
      <rPr>
        <b/>
        <sz val="12"/>
        <color theme="1"/>
        <rFont val="Calibri Light"/>
        <family val="2"/>
      </rPr>
      <t xml:space="preserve"> Programma Innovativo per la Qualità dell’ abitare 
 - abitare</t>
    </r>
  </si>
  <si>
    <r>
      <t xml:space="preserve">DM 7 ottobre 2021 </t>
    </r>
    <r>
      <rPr>
        <b/>
        <sz val="12"/>
        <color theme="1"/>
        <rFont val="Calibri Light"/>
        <family val="2"/>
      </rPr>
      <t>- Programma Innovativo per la Qualità dell’ abitare 
 - abitare</t>
    </r>
  </si>
  <si>
    <t>Con decreto direttoriale (MISE) del 25 marzo 2022 è fissata alle ore 12:00 del giorno 11 aprile 2022 l’apertura dello sportello per la presentazione delle domande di agevolazioni a valere sulla misura dei Contratti di sviluppo</t>
  </si>
  <si>
    <t>AMINISTRAZIONE CENTRALE TITOLARE</t>
  </si>
  <si>
    <t>1.7.2 Rete di servizi di facilitazione digitale</t>
  </si>
  <si>
    <t>Lo scorso  23 marzo 2022 sono scaduti i termini per la presentazione delle istanze. Regione non è coinvolta nell'attuazione della misura. La misura è rivolta ai comuni.</t>
  </si>
  <si>
    <t>3.5 Progetti di ricerca e sviluppo in materia di idrogeno</t>
  </si>
  <si>
    <t>Avviso pubblico del 23/03/2022 - Comunicato pubblicato sulla G.U. 2 aprile 2022, n. 78</t>
  </si>
  <si>
    <t>1) presentazione proposte 
2) aggiudicazione  contratti di ricerca</t>
  </si>
  <si>
    <t>dal 24 marzo al 9 maggio 2022;
entro giugno 2022.</t>
  </si>
  <si>
    <t>DM 22 novembre 2021; Comunicazione MiTE 38671 del  25/03/2022; Decreto Direttoriale n. 32 del 22/03/2022</t>
  </si>
  <si>
    <r>
      <t>DPCM 15 settembre 2021</t>
    </r>
    <r>
      <rPr>
        <sz val="12"/>
        <color theme="1"/>
        <rFont val="Calibri Light"/>
        <family val="2"/>
      </rPr>
      <t xml:space="preserve"> - </t>
    </r>
    <r>
      <rPr>
        <b/>
        <sz val="12"/>
        <color theme="1"/>
        <rFont val="Calibri Light"/>
        <family val="2"/>
      </rPr>
      <t>Fondo complementare</t>
    </r>
    <r>
      <rPr>
        <sz val="12"/>
        <color theme="1"/>
        <rFont val="Calibri Light"/>
        <family val="2"/>
      </rPr>
      <t xml:space="preserve"> 
</t>
    </r>
    <r>
      <rPr>
        <b/>
        <sz val="12"/>
        <color theme="1"/>
        <rFont val="Calibri Light"/>
        <family val="2"/>
      </rPr>
      <t>Programma Sicuro verde e sociale</t>
    </r>
    <r>
      <rPr>
        <sz val="12"/>
        <color theme="1"/>
        <rFont val="Calibri Light"/>
        <family val="2"/>
      </rPr>
      <t>, dedicato alla riqualificazione dell’edilizia residenziale pubblica  - abitare</t>
    </r>
    <r>
      <rPr>
        <b/>
        <sz val="12"/>
        <color theme="1"/>
        <rFont val="Calibri Light"/>
        <family val="2"/>
      </rPr>
      <t xml:space="preserve">
Decreto 5 del MIMS del 5 aprile</t>
    </r>
  </si>
  <si>
    <t xml:space="preserve">Ministero della Cultura  </t>
  </si>
  <si>
    <t>DG Creatività contemporanea - Ministero della Cultura</t>
  </si>
  <si>
    <t>Non ancora definito</t>
  </si>
  <si>
    <t xml:space="preserve">Aler Milano
Aler Bs-Cr-Mn  
Aler Pv-Lo 
Aler Va-Co-Mb-Ba </t>
  </si>
  <si>
    <t xml:space="preserve">Regione Lombardia ha approvato un bando di cofinanziamento al bando ministeriale per una cifra di 3,5 milioni  non afferenti a risorse PNRR. 
Il bando ministeriale è rivolto ai soggetti dell'edilizia residenziale universitaria sulla base del DM MUR  </t>
  </si>
  <si>
    <r>
      <t xml:space="preserve">Rafforzamento mobilità ciclistica </t>
    </r>
    <r>
      <rPr>
        <b/>
        <sz val="14"/>
        <color rgb="FFFF0000"/>
        <rFont val="Calibri Light"/>
        <family val="2"/>
      </rPr>
      <t>M2C2 4.1</t>
    </r>
  </si>
  <si>
    <t>Rafforzamento mobilità ciclistica M2C2 4.1</t>
  </si>
  <si>
    <t>Fondo complementare - DM 394 del 13 ottobre 2021 - aree interne 
interne</t>
  </si>
  <si>
    <r>
      <rPr>
        <b/>
        <sz val="12"/>
        <color theme="1"/>
        <rFont val="Calibri Light"/>
        <family val="2"/>
      </rPr>
      <t>DM 4 del 12 gennaio 2022</t>
    </r>
    <r>
      <rPr>
        <sz val="12"/>
        <color theme="1"/>
        <rFont val="Calibri Light"/>
        <family val="2"/>
      </rPr>
      <t xml:space="preserve"> Ciclovia Sole</t>
    </r>
  </si>
  <si>
    <t>SOGGETTO ESECUTORE</t>
  </si>
  <si>
    <t>ARIA SPA</t>
  </si>
  <si>
    <t>OUTPUT AMMINISTRATIVO</t>
  </si>
  <si>
    <t xml:space="preserve"> SCADENZA OUTPUT AMMINISTRATIVO</t>
  </si>
  <si>
    <t>TAG TEMATICA</t>
  </si>
  <si>
    <t>Digitalizzazione/Mobilità sostenibile</t>
  </si>
  <si>
    <t>Digitalizzazione/Sanità</t>
  </si>
  <si>
    <t>Digitalizzazione/Imprese</t>
  </si>
  <si>
    <t>Digitalizzazione/Cultura</t>
  </si>
  <si>
    <t>Cultura</t>
  </si>
  <si>
    <t>Risparmio energetico</t>
  </si>
  <si>
    <t>Task force digitalizzazione, monitoraggio e performance</t>
  </si>
  <si>
    <t>Digitalizzazione/Scuole</t>
  </si>
  <si>
    <t>Cultura/Valorizzazione borghi</t>
  </si>
  <si>
    <t>Cultura/Parchi e giardini</t>
  </si>
  <si>
    <t>Cultura/imprese</t>
  </si>
  <si>
    <t>Ambiente/Rinnovabili</t>
  </si>
  <si>
    <t>Ambiente/Idrogeno</t>
  </si>
  <si>
    <t>Infrastrutture/Ciclovie</t>
  </si>
  <si>
    <t>Infrastrutture/Trasporti Bus</t>
  </si>
  <si>
    <t>Infrastrutture/Trasporti</t>
  </si>
  <si>
    <t>Infrastrutture/Trasporti Treni</t>
  </si>
  <si>
    <r>
      <t xml:space="preserve">
Accordo Quadro e Appalto Integrato Multilotto  </t>
    </r>
    <r>
      <rPr>
        <sz val="12"/>
        <color theme="1"/>
        <rFont val="Calibri Light"/>
        <family val="2"/>
      </rPr>
      <t xml:space="preserve">“Efficientamento energetico e sismico edilizia residenziale privata e pubblica” per l’investimento </t>
    </r>
    <r>
      <rPr>
        <b/>
        <sz val="12"/>
        <color theme="1"/>
        <rFont val="Calibri Light"/>
        <family val="2"/>
      </rPr>
      <t xml:space="preserve">2.1 Ecobonus e Sismabonus 110%  </t>
    </r>
    <r>
      <rPr>
        <sz val="12"/>
        <color theme="1"/>
        <rFont val="Calibri Light"/>
        <family val="2"/>
      </rPr>
      <t>(abitare)</t>
    </r>
  </si>
  <si>
    <t>Ambiente/Trattamento rifiuti</t>
  </si>
  <si>
    <t>Cofinzanziamento da RL per 207.329.249,00 € da DGR 6282/2022. Strutture da realizzare (CDC, ODC, COT) individuate da DGR 6080/2022</t>
  </si>
  <si>
    <t>Ambiente/Imprese</t>
  </si>
  <si>
    <t>Infrastrutture/ Istituti Penitenziari</t>
  </si>
  <si>
    <t>Infrastrutture/Scuole</t>
  </si>
  <si>
    <t>Infrastrutture/Case</t>
  </si>
  <si>
    <t>Infrastrutture/Tutela del territorio</t>
  </si>
  <si>
    <t>Ambiente/Tutela del territorio</t>
  </si>
  <si>
    <t>Infrastrutture/Reti idriche</t>
  </si>
  <si>
    <t>Infrastrutture/Reti idriche/Agricoltura</t>
  </si>
  <si>
    <t>Formazione e Lavoro</t>
  </si>
  <si>
    <t>Politiche sociali</t>
  </si>
  <si>
    <t>Infrastrutture urbane</t>
  </si>
  <si>
    <t>Infrastrutture/Politiche sociali</t>
  </si>
  <si>
    <t>Infrastrutture/Aree interne</t>
  </si>
  <si>
    <t>Infrastrutture/Sanità</t>
  </si>
  <si>
    <t>10.045.391 di cofinanziamento previsiti dal decreto interministeriale Interno-MEF 22 aprile 2022</t>
  </si>
  <si>
    <t>Commissario speciale</t>
  </si>
  <si>
    <t xml:space="preserve">SOGGETTO ATTUATORE </t>
  </si>
  <si>
    <t>Termine per il conseguimento dei traguardi ("milestones") e degli obiettivi ("target")</t>
  </si>
  <si>
    <t xml:space="preserve">Milestones: 
-Dicembre 2022: soggetto attuatore deve concludere le azioni propedeutiche
- Ottobre 2023: il Soggetto Attuatore elabora il rapporto unico finale
-Giugno 2026: il Soggetto Attuatore esegue tutte le necessarie attività di affiancamento e supporto verso le 7 città “follower” </t>
  </si>
  <si>
    <t>Milestone: 
-Giugno 2022: aggiudicazioni appalti pubblici
Targets:
- Settembre 2022: 1.800 scuole connesse
-Settembre 2024: 5.400 scuole connesse
- Giugno 2026: 9.000 scuole connesse</t>
  </si>
  <si>
    <t>Milestone: 
-Giugno 2022: aggiudicazioni appalti pubblici
Targets:
- Marzo 2023: 1.227 strutture connesse
-Settembre 2023: 3.683 strutture connesse
- Settembre 2024: 7.367 strutture connesse
- Settembre 2025: 12.279 strutture connesse</t>
  </si>
  <si>
    <t>Target
-Dicembre 2023:  firma di almeno 40 Contratti di Sviluppo</t>
  </si>
  <si>
    <t>Milestones:
- Giugno 2022: entrata in vigore decreto MIC  per l'assegnazione delle risorse 
- Giugno 2023: Aggiudicazione di contratti per interventi relativi a musei e luoghi della cultura statale
Target:
- Settembre 2023: 80 interventi ultimati
- Settembre 2024: 209 interventi ultimati
- Dicembre 2025: 420 interventi ultimati
- Giugno 2026: 467 interventi ultimati</t>
  </si>
  <si>
    <t>Milestones:
- Giugno 2022: entrata in vigore de decreto MIC per assegnazione risorse
- Giugno 2024: censimento parchi e giardini storici
Target:
- Dicembre 2023: 20 parchi e giardini riqualificati
- Dicembre 2024: 40 parchi e giardini riqualificati
- Dicembre 2024: almeno 40 parchi e giardini riqualificati e 1260 operatori formati
- Dicembre 2026: 110 parchi e giardini riqualificati</t>
  </si>
  <si>
    <t xml:space="preserve">Milestone:
- Dicembre 2023: Aggiudicazione di tutti gli appalti pubblici all'ente attuatore per tutti gli interventi di transizione verde e digitale
Target
- Giugno 2024: 20 iniziative per lo sviluppo delle capacità
- Giugno 2024: 350 progetti e attività implementati
- Giugno 2026: 80 iniziative per sviluppo capacità
- Dicembre 2025: 1200 progetti e attività implementati
</t>
  </si>
  <si>
    <t xml:space="preserve">Milestone
- Dicembre 2023: Entrata in vigore dell'obbligo di raccolta differenziata dei rifiuti organici
- Dicembre 2023: Assegnazione di interventi per il  miglioramento della gestione dei rifiuti urbani e progetti faro
Target
- Dicembre 2023:  riduzione delle discariche abusive oggetto della procedura di infrazione 2003/2077 da 33 a 7
- Dicembre 2023: riduzione delle discariche abusive oggetto della procedura di infrazione 2011/2215 da 34 a 14
- Dicembre 2024: riduzione delle discariche abusive oggetto della procedura di infrazione 2003/2077 da 7 a 4
- Dicembre 2024: riduzione delle discariche abusive oggetto della procedura di infrazione 2011/2215 da 14 a 9
- Due target su riduzione differenze regionali nella raccolta differenziata
</t>
  </si>
  <si>
    <t>Milestone
- Dicembre 2023: Assegnazione dei lavori per il 100% dei progetti finanziati
-Dicembre 2025: Entrata in vigore della raccolta differenziata per le frazioni di rifiuti domestici pericolosi e i prodotti tessili
Target
-Dicembre 2025: tasso di riciclaggio imballaggi in plastica per almeno il 50 % del peso
-Dicembre 2025: tasso di riciclaggio imballaggi materiale ferroso  almeno il 70 % del peso
-Dicembre 2025: tasso di riciclaggio imballaggi in alluminio per almeno il 50 % del peso
-Dicembre 2025: tasso di riciclaggio per carta e cartone per almeno il 75 % del peso
-Dicembre 2025: tasso di riciclaggio imballaggi in vetro  almeno il 70 % del peso
-Dicembre 2025: tasso di riciclaggio rifiuti urbani per  almeno il 55 % del peso
-Dicembre 2025: tasso di riciclaggio imballaggi materiale ferroso  almeno il 70 % del peso
-Dicembre 2025:  tasso di riciclaggio dei rifiuti di imballaggio deve raggiungere almeno il 65 % in peso</t>
  </si>
  <si>
    <t>Milestone:
Dicembre 2025: Aggiudicazione di tutti gli appalti pubblici per la concessione di prestiti per la realizzazione degli interventi
Target:
- Giugno 2026: Sostegno alle comunità energetiche in comuni con meno di 5 000 abitanti allo scopo di consentire l'installazione di almeno 2 000 MW da fonti rinnovabili</t>
  </si>
  <si>
    <t>Milestone
-Giugno 2022: Pubblicazione dei risultati della valutazione dei progetti presentati
-Marzo 2023: Aggiudicazione dei progetti di produzione di idrogeno in aree industriali dismesse
- Giugno 2024:v alutazione e progresso dell'implementazione dei progetti vincitori per la produzione di idrogeno
Target
- Giugno 2026: Completamento di almeno 10 progetti di produzione di idrogeno</t>
  </si>
  <si>
    <t>Milestone:
-Giugno 2022: Aggiudicazione di tutti i contratti di ricerca e sviluppo a progetti di ricerca sull'idrogeno
Target
-Giugno 2024: Svolgimento di almeno quattro progetti di ricerca e sviluppo (uno per ogni filone elencato di seguito) e ottenimento di un certificato di collaudo o pubblicazione</t>
  </si>
  <si>
    <t>Milestone
-Dicembre 2023: Aggiudicazione di (tutti gli) appalti pubblici per la realizzazione di piste ciclabili, metropolitane, filovie e funivie in aree metropolitane
Target
-Dicembre 2023: Costruzione di almeno 200 km aggiuntivi di piste ciclabili urbane (comuni oltre i 50.000 abitabti)
-GIugno 2026: Costruzione di almeno 365 km aggiuntivi di piste ciclabili urbane e metropolitane e almeno 1 235 km aggiuntivi di piste ciclabili in altre zone d'Italia.</t>
  </si>
  <si>
    <t>Milestone
-Dicembre 2023: Aggiudicazione di (tutti gli) appalti pubblici per la realizzazione di piste ciclabili, metropolitane, filovie e funivie in aree metropolitane
Target
-Settembre 2024: Costruzione di almeno 25 km di infrastruttura di trasporto pubblico. I progetti devono essere realizzati nelle aree metropolitane di Perugia, Pozzuoli e Trieste.
-GIugno 2026: Costruzione di almeno 206 km di infrastruttura di trasporto pubblico.</t>
  </si>
  <si>
    <t>Milestone:
-Dicembre 2021: entrata in vigore di un decreto ministeriale che precisi l'ammontare delle risorse disponibili
Target assenti</t>
  </si>
  <si>
    <t>Milestone
-Giugno 2023: Pubblicazione del bando di gara in GURI/GUCE per il 50% dei progetti di riqualificazione degli edifici di giustizia
-Marzo 2024: Inizio dei lavori per il 50% dei progetti di riqualificazione degli edifici di giustizia
- -Marzo 2025: Inizio dei lavori per il 100% dei progetti di riqualificazione degli edifici di giustizia
Target
-Marzo 2026: Costruzione di edifici, riqualificazione e rafforzamento dei beni immobili dell'amministrazione della giustizia di almeno 289 000 metri quadri
-Giugno 2026: riquaificazione di 48 edifici di giustizia 
-GIugno 2026: riduzione del consumo di energia di 735 TEP</t>
  </si>
  <si>
    <t xml:space="preserve">Milestone
-Settembre 2023: Aggiudicazione di tutti i contratti pubblici per la costruzione di nuove scuole
-Settembre 2024: Inizio dei lavori e dei cantieri per tutti gli edifici scolastici
-Marzo 2026: conclusione dei lavori su tutti gli interventi
-Giugno 2026: fine collaudi per tutte le opere
Target
-Giugno 2023: Aggiudicazione degli interventi 
-Marzo 2026: Almeno 400 000 metri quadri di nuove scuole costruite
-Giugno 2026: Riduzione del consumo finale di energia negli edifici scolastici ristrutturati di 2,42 KTOE/anno
</t>
  </si>
  <si>
    <t>Target
-Giugno 2023: almeno 12 000 000 di metri quadri ristrutturati per efficienza energetica e 1 400 000 metri quadri per scopi antisismici
- Dicembre 2023: 191 Ktep di risparmio aggiuntivo da nuovi interventi
-Dicembre 2025: : almeno 32 000 000 di metri quadri ristrutturati per efficienza energetica e 3 800 000 metri quadri per scopi antisismici</t>
  </si>
  <si>
    <t>Milestones assenti
Target
- Dicembre 2023: Completamento di lavori di piccola portata per comuni T1
- Dicembre 2023: Completamento di lavori di media portata per comuni T1
Target
- Marzo 2026: Completamento di lavori di piccola portata per comuni T2
- Marzo 2026: Completamento di lavori di media portata per comuni T2</t>
  </si>
  <si>
    <t>Milestones: solo 2021
Target
-Dicembre 2022: Piantare almeno 1 650 000 alberi per il rimboschimento delle aree urbane ed extraurbane
-Dicembre 2024: Piantare almeno 6 600 000 alberi per il rimboschimento delle aree urbane ed extraurbane</t>
  </si>
  <si>
    <t xml:space="preserve">Milestone
- Giugno 2023: Entrata in vigore della legislazione finalizzata al recupero del corridoio ecologico rappresentato dall'alveo del fiume Po
- Marzo 2024: Aggiudicazione dei lavori
Target
- Giugno 2024: Ridurre l'artificialità dell'alveo di 13 km
- GIugno 2026: Ridurre l'artificialità dell'alveo di 37 km
</t>
  </si>
  <si>
    <t>Milestone:
 Dicembre 2022: piano d'azione per la riqualificazione dei siti orfani, individuazione siti e interventi
Target:
-Giugno 2024: 90 progetti di sicurezza/risanamento approvati dalle autorità locali
-Marzo 2026: 70% siti orfani riqualificati</t>
  </si>
  <si>
    <t>Milestone:
-Giugno 2022: 100% del progetto,  relativo alle reti di distribuzione idrica, selezionato per il finanziamento
-Settembre 2023: Aggiudicazione di tutti gli appalti pubblici per interventi nelle reti di distribuzione dell'acqua
Target
-Dicembre 2024: Costruire almeno altri 9 000 chilometri di rete idrica a livello distrettuale
-Marzo 2026: Costruire almeno altri 25 000 chilometri di rete idrica a livello distrettuale
-GIugno 2026: Riduzione del 50% delle perdite idriche negli interventi finanziati e di 50 metri cubi/KM/giorno</t>
  </si>
  <si>
    <t>Milestones
-Giugno 2022: elezione di progetti per la sicurezza dell'approvvigionamento idrico
-Dicembre 2022: Conclusione delle attività di progettazione di progetti selezionati 
-Settembe 2023: Aggiudicazione di (tutti gli) appalti 
pubblici per investimenti in infrastrutture idriche primarie
Target
-GIugno 2025: 18  interventi (con singolo codice CUP) completati
-Marzo 2026: Aumentare la sicurezza dell'approvvigionamento idrico e la resilienza dell'infrastruttura idrica in almeno 25 sistemi idrici complessi
-Giugno 2026: 75  interventi (con singolo codice CUP) completati</t>
  </si>
  <si>
    <t>Milestones
- Settembre 2022: Finanziamento di progetti per interventi infrastrutturali sulle reti e sui sistemi di irrigazione
-Dicembre 2023: Notifica dell'aggiudicazione di tutti gli appalti pubblici
Target
-Marzo 2024: Almeno il 15 % della superficie irrigua deve beneficiare di un uso efficiente delle risorse irrigue (T1)
- Dicembre 2024: Portare almeno al 29 % la percentuale di fonti di prelievo dotate di contatori (T1)
-Marzo 2026: Almeno il 29 % della superficie irrigua deve beneficiare di un uso efficiente delle risorse irrigue (T2)
- Marzo 2026: Portare almeno al 40 % la percentuale di fonti di prelievo dotate di contatori (T2)</t>
  </si>
  <si>
    <t>Milestone
-Dicembre 2022: Avvio della procedura di gara per l'assegnazione dei lavori (Liguria - Alpi) e avvio progetto progetto (PD) per Verona-Brennero - opere di adduzione
-Dicembre 2023: Approvazione della proposta di aggiudicazione della procedura di appalto delle opere  (Liguria-Api) e Pubblicazione della procedura di gara pubblica per Verona-Brennero
Target
- Tassi di realizzazione annui rispetto ai costi totali finanziati con il PNRR
-Giugno 2026: Km di rete ad alta velocità/alta capacità costruiti:
Brescia - Verona - Padova 92 km
LIguria-Alpi 70 km
Verona-Brennero (opere add.) 15 km
- Dicembre 2025: 53 km di ferrovia ad alta velocità per passeggeri e merci sulla linea Liguria-Alpi costruiti
-Giugno 2026: 180 km di ferrovia ad alta velocità per passeggeri e merci sulle linee Brescia-Verona_Vicenza-Padova, Liguria-Alpi e Verona-Brennero costruiti</t>
  </si>
  <si>
    <t xml:space="preserve">Milestones: solo 2021
Target
-Dicembre 2022: almeno 150 km di rete potenziata
-Dicembre 2023: almeno 500 km di rete potenziata
-Dicembre 2024: almeno 700 km di rete potenziata
- Dicembre 2025: almeno 790 km di rete potenziata
-Giugno 2026: 1280 km di rete potenziata
</t>
  </si>
  <si>
    <t>Milestones: assenti
Target
-Giugno 2026: 20 stazioni ferroviarie regionali adattate e 680 km di linee regionali migliorate</t>
  </si>
  <si>
    <t>Milestones (parla di ferrovie del Sud….sud Europa?)
-Dicembre 2022: inizio progettazione definitiva
- Dicembre 2023: pubblicazione procedura di gara
-Dicembre 2024: Notifica dell'aggiudicazione 
 degli (di tutti gli) appalti
Target
-Dicembre 2024: Tasso di realizzazione annuo rispetto ai costi totali finanziati con il PNRR al 16,94%
-Dicembre 2025: 27 Km di linee ferroviarie nazionali nel sud aggiornato
-Giugno 2026: 573 Km di linee ferroviarie nazionali nel sud aggiornato</t>
  </si>
  <si>
    <t>Milestone: Dicembre 2021 Entrata in vigore delle "Linee 
guida per la classificazione e gestione del rischio, la valutazione della sicurezza e il monitoraggio dei ponti esistenti"</t>
  </si>
  <si>
    <t xml:space="preserve">Milestones:
-Giugno 2022: Approvazione della strategia di attuazione del PLN e delle linee guida per lo sviluppo (digitalizzazione della gestione del traffico aereo)
- Dicembre 2024: Implementazione di Group Cloud Enterprise Resource Planning (ERP)
- Dicembre 2025: Completamento dell'infrastruttura e dei servizi U-Space U4 e completamento del prototipo di connettività Multilink
-Marzo 2026: Disponibilità di TOC e di applicazioni SW
-Marzo 2026: Digitalizzazione della gestione del 
traffico aereo: entrata in funzione di 
nuovi strumenti
Target
-Dicembre 2023: Almeno 13 siti: aeroporti, enti di controllo di avvicinamento (APP) e centri di controllo di area (ACC) devono essere dotati di un sistema di gestione del traffico aereo completamente digitalizzato e operativo
</t>
  </si>
  <si>
    <t>Milestones:
- Marzo 2022: Approvazione della classifica degli interventi
-Giugno 2023: Aggiudicazione dei contatti di lavoro e distribuzione territoriale per gli asili nido, le scuole dell'infanzia e i servizi di educazione e cura della prima infanzia.
-GIugno 2026: Verifica/esecuzione regolare
Target
-Dicembre 2025: 152.000 posti attivati negli asili nido
-Dicembre 2025: 76.000 posti attivati per la scuola materna
-Dicembre 2025: Creazione di almeno 264 480 nuovi posti per servizi di educazione e cura per la prima infanzia (fascia 0-6 anni)</t>
  </si>
  <si>
    <t>Milestone
- Marzo 2022: Pubblicazione del bando pubblico e decreto ministeriale che approva la graduatoria degli interventi
- Marzo 2023: Aggiudicazione degli appalti per l'intervento nelle mense scolastiche
-Settembre 2023:Inizio dei lavori e inizio dei cantieri
- Dicembre 2025: conclusione dei lavori
-Giugno 2026: Accettazione/Esecuzione regolare degli interventi e messa in funzione
Target
- Giugno 2026: Almeno 1 000 strutture che possano favorire un incremento del tempo scuola e un'apertura della scuola al territorio anche oltre l'orario scolastico</t>
  </si>
  <si>
    <t>Milestones
-Marzo 2024: Aggiudicazione dei contratti di lavoro per gli interventi di costruzione e riqualificazione di strutture sportive e palestre previsti dal decreto del Ministero dell'Istruzione.
-Marzo 2024: Inizio lavori
-Giugno 2026: Verifica/attuazione regolare degli interventi
Target
-Giugno 2026: Almeno 230 400 m² realizzati o riqualificati da utilizzare come palestre o strutture sportive annesse alle scuole.Registro nazionale degli edifici scolastici e dati derivanti dal monitoraggio GPU</t>
  </si>
  <si>
    <t>Milestone: 16/03/2022 scadenza termine offerte. 
Target: 30/06/2026</t>
  </si>
  <si>
    <t>Milestone
- Dicembre 2024: pubblicazione di relazioni periodiche di monitoraggio delle reti ITS attraverso la piattaforma INDIRE
- Dicembre 2024: Creazione di: a) nuovi ITS per ridurre il divario tra offerta e domanda di lavoro; b) un sistema digitale per il monitoraggio degli ITS e la governance nazionale.
Target
- Dicembre 2025: Aumento del numero di studenti iscritti al sistema di formazione professionale terziaria (ITS) ogni anno (da 11.000 a 22.000)</t>
  </si>
  <si>
    <t xml:space="preserve">Milestone
-Giugno 2023: Aggiudicazione lavori per gli interventi ammissibili
-Dicembre 2023: Inizio dei lavori e dei cantieri 
-Giugno 2026: Verifica/attuazione regolare degli interventi
Target
-Giugno 2026: indice di rischio sismico ≥ 0,6
-Giugno 2026: Ristrutturazione di almeno 2 784 000 m² di edifici scolastici, pari a circa 2 100 edifici scolastici. 
</t>
  </si>
  <si>
    <t xml:space="preserve">Milestones
-Entrata in vigore, a livello regionale, di tutti i piani per i centri per l'impiego (PES)
Target
-Dicembre 2025: Almeno 3 000 000 di beneficiari del programma "Garanzia di occupabilità dei lavoratori" (GOL)
- Dicembre 2025: la formazione professionale deve essere inclusa nel programma per un quarto dei beneficiari delle ALMPs (800 000 persone in cinque anni)
- Dicembre 2025: per almeno l'80 % dei centri per l'impiego (PES), soddisfare i criteri del livello essenziale delle prestazioni PES quali definiti nel programma "Garanzia di occupabilità dei lavoratori" (GOL).
</t>
  </si>
  <si>
    <t>Milestone future assenti
Target
- Dicembre 2025: Partecipazione al sistema duale e ottenimento della relativa certificazione nel quinquennio 2021-2025 per almeno 135 000 persone in più rispetto allo scenario di riferimento (da 39.000 a 174.000)</t>
  </si>
  <si>
    <t>Milestone future assenti
Target
- Dicembre 2022: Per almeno 250 centri per l'impiego (PES), il completamento di almeno il 50 % delle attività previste nel piano di potenziamento nel triennio 2021 -23
- Dicembre 2025: Per almeno 500 centri per l'impiego (PES), il completamento del 100 % delle attività previste nel piano di potenziamento nel triennio 2021-2023</t>
  </si>
  <si>
    <t>Milestones
- Giugno 2022: Pubblicazione di procedure di appalto non competitive per aree sociali territoriali, al fine di raccogliere proposte di progetti dal territorio
- Settembre 2022: Decreto di approvazione dei progetti
Target
- Marzo 2026: Attivazione di 465 progetti (400 + 65 già finanziati con il Fondo nazionale per le politiche sociali) che coinvolgano almeno 4.650 famiglie con bambini in situazione vulnerabile</t>
  </si>
  <si>
    <t>Milestones
- Giugno 2022: Pubblicazione di procedure di appalto non competitive per aree sociali territoriali, al fine di raccogliere proposte  di progetti dal territorio
- Marzo 2023: Definizione di progetti negli ambiti territoriali sociali per: (i) sostegno ai genitori, (ii) autonomia degli anziani, (iii) servizi domiciliari agli anziani o (iv) favorire gli assistenti sociali per prevenire l'esaurimento
Target
- Marzo 2026: Realizzazione di 125 progetti ciascuno composto da 30 appartamenti per l'accoglienza degli anziani, coinvolgendo 12.500 anziani.</t>
  </si>
  <si>
    <t>Milestones
- Giugno 2022: Pubblicazione di procedure di appalto non competitive per aree sociali territoriali, al fine di raccogliere proposte  di progetti dal territorio
- Marzo 2023: Definizione di progetti negli ambiti territoriali sociali per: (i) sostegno ai genitori, (ii) autonomia degli anziani, (iii) servizi domiciliari agli anziani o (iv) favorire gli assistenti sociali per prevenire l'esaurimento
Target
- Marzo 2026: Realizzazione di 200 nuovi progetti e coinvolgimento di 2.500 persone (2.000 persone + 500 già coinvolte in progetti finanziati con il Fondo nazionale per le politiche sociali)</t>
  </si>
  <si>
    <t>Milestones
- Giugno 2022: Pubblicazione di procedure di appalto non competitive per aree sociali territoriali, al fine di raccogliere proposte  di progetti dal territorio
- Settembre 2022: Definizione di progetti negli ambiti territoriali sociali per: (i) sostegno ai genitori, (ii) autonomia degli anziani, (iii) servizi domiciliari agli anziani o (iv) favorire gli assistenti sociali per prevenire l'esaurimento
Target
- Marzo 2026: Realizzazione di 200 progetti. Almeno l'85 % dei distretti sociali deve produrre almeno uno dei seguenti risultati: i) sostegno ai genitori di minori nella fascia di età da 0 a 17 anni, ii) autonomia delle persone anziane, iii) servizi a domicilio per gli anziani o iv) sostegno agli assistenti sociali al fine di prevenire i burn -out. L'85 % dei distretti sociali italiani deve partecipare al progetto.</t>
  </si>
  <si>
    <t xml:space="preserve">Milestones
- Marzo 2022: Pubblicazione di procedure di appalto non competitive per aree sociali territoriali, al fine di raccogliere proposte  di progetti dal territorio, ed approvazione dei progetti
Target
- Dicembre 2022: Realizzazione da parte dei distretti sociali di almeno 500 progetti relativi alla ristrutturazione degli spazi domestici e/o alla fornitura di dispositivi ICT alle persone con disabilità, insieme a una formazione sulle competenze digitali.
- Giugno 2026: Realizzazione di 850 progetti (150 esistenti più 750 nuovi) ciascuno composto da 1 o 2 appartamenti per l'accoglienza di persone con disabilità, per almeno 5 000 persone con disabilità  che dovranno aver beneficiato del rinnovo dello spazio domestico e/o della fornitura di dispositivi ICT
</t>
  </si>
  <si>
    <t xml:space="preserve">Milestones
- Marzo 2022: piano operativo relativo ai progetti di Housing First e stazioni di posta 
- Settembre 2022: adozione del decreto ministeriale di definizione dei progetti nelle aree sociali territoriali.
Target
- Marzo 2026: Attivazione di 250 nuovi interventi Housing First, che consistono nella manutenzione di alloggi temporanei in appartamenti/abitazioni, destinati a singoli o piccoli  gruppi di individui o a famiglie, accompagnati da progetti individualizzati per aumentare l'autonomia, prendendo in carico almeno 4.000 soggetti. Almeno 25 000 persone che vivono in condizioni di grave deprivazione materiale devono ricevere un alloggio temporaneo per almeno 6 mesi dai progetti di housing first e stazioni di posta </t>
  </si>
  <si>
    <t xml:space="preserve">Milestones
- Marzo 2022: piano operativo relativo ai progetti di Housing First e stazioni di posta 
- Settembre 2022: adozione del decreto ministeriale di definizione dei progetti nelle aree sociali territoriali.
Target
- Marzo 2026: Attivazione di 250 nuovi poli costruiti per l'accoglienza dei senza tetto (stazioni di posta), concentrati nei grandi centri urbani e nelle aree metropolitane, coinvolgendo 28.000 persone nell'area dei progetti di postazione, con particolare riferimento ai senzatetto. Almeno 25 000 persone che vivono in condizioni di grave deprivazione materiale devono ricevere un alloggio temporaneo per almeno 6 mesi dai progetti di housing first e stazioni di posta </t>
  </si>
  <si>
    <t>Milestone
- Marzo 2022: Aggiudicazione di tutti gli appalti pubblici relativi a investimenti 
nella rigenerazione urbana
- Settembre 2023: Aggiudicazione di opere pubbliche da parte dei 300 comuni
Target
-Dicembre 2024: Almeno il 30% del costo complessivo delle opere è stato speso (840 milioni) da comuni con meno di 15,00 abitanti, per opere che coprono almeno 1 milione di mq 
- Giugno 2026: almeno 300 progetti completati, presentati dai comuni con meno di 15.000 abitanti, riguardanti almeno un milione di metri quadrati.</t>
  </si>
  <si>
    <t>Milestone
- Marzo 2022: entrata in vigore del decreto ministeriale che definisce la 
mappatura degli insediamenti abusivi
- Settembre 2022: Approvazione della strategia di 
investimento del Fondo da parte del MEF
- Dicembre 2022: Entrata in vigore del piano di investimenti per progetti di 
rigenerazione urbana nelle aree 
metropolitane
-Giugno 2023: Firma di accordi con le amministrazioni competenti (Regione, Comune) per l'approvazione di Piani locali riguardanti almeno 2/3 delle aree identificate come insediamenti illegali e completamento dei progetti sul 90% delle aree
-Settembre 2023: Aggiudicazione di lavori pubblici
-Dicembre 2023: firma degli accordi operativi.
Target
-Giugno 2024: Approvazione da parte del Comitato investimenti del Fondo (di cui fa parte il MEF) di almeno 5 progetti.
-Dicembre 2024: Almeno il 30% del costo complessivo delle interezioni è stato speso
erogato
-Marzo 2025: Attività dei progetti completate su almeno il 90 % delle aree individuate come insediamenti abusivi 
-Marzo 2026: Contributo di almeno 545 milioni di EUR al fondo tematico
-GIugno 2026: Tutte le 14 città metropolitane hanno completato interventi di pianificazione integrata in almeno una delle tre dimensioni seguenti: - manutenzione per il riutilizzo e la rifunzionalizzazione di aree pubbliche e di edifici pubblici esistenti; - miglioramento della qualità del decoro urbano e del tessuto sociale e ambientale, anche mediante la ristrutturazione di edifici pubblici; - miglioramento della qualità ambientale e del profilo digitale</t>
  </si>
  <si>
    <t>Milestone
-Marzo 2022: Firma delle convenzioni per la riqualificazione e l'incremento dell'edilizia sociale da parte di almeno 15 regioni
Target
-Giugno 2026:10.000 unità abitative (in termini sia di costruzione che di riqualificazione) e metri quadrati di spazi pubblici che beneficiano di un 
sostegno</t>
  </si>
  <si>
    <t>Milestone
- Marzo 2022: Entrata in vigore della legge o del decreto Rifinanziamento del "Fondo di sostegno ai comuni marginali"
- Dicembre 2022: Aggiudicazione dell'offerta 
Target
- Dicembre 2023: Devono beneficiare dell'intervento almeno 500 farmacie rurali in comuni di aree interne con meno di 3 000 abitanti.
- Dicembre 2025: Devono beneficiare dell'intervento almeno 2 000 farmacie rurali in comuni di aree interne con meno di 3 000 abitanti
- Giugno 2026: Fornire servizi sociali ad almeno 2 000 000 di destinatari residenti in comuni delle aree interne, di cui almeno 900 000 abitanti di una delle seguenti otto regioni: Abruzzo, Basilicata, Campania, Calabria, Molise, Puglia, Sardegna e Sicilia</t>
  </si>
  <si>
    <t>CdC e OdC- Milestone
-Giugno 2022: Approvazione di un contratto istituzionale di sviluppo, con il Ministero della Salute italiano quale autorità responsabile e attuativa 
CdC e OdC: Target
- Giugno 2022: Assegnazione di un CUP
- Marzo 2023: approvazione progetti idonei
- Dicembre 2023: Stipula dell'obbligazione giuridicamente vincolante
- Giugno 2026: 1.350 case di comunità e 400 ospedali di comunità disponibili 
Per gli investimenti COT (Centrali Operative Territoriali), ADI (assistenza domiciliare) e Telemedicina target e milestones molteplici</t>
  </si>
  <si>
    <t>Importo relativo agli anni 2021-2023 (1.712.139,36 € l'anno)</t>
  </si>
  <si>
    <t>2.2 (b) - Sviluppo delle competenze professionali, digitali e manageriali del personale - Corso di formazione in infezioni ospedaliere</t>
  </si>
  <si>
    <t>2.2 (a) - Sviluppo delle competenze professionali, digitali e manageriali del personale - Borse di studio aggiuntive in formazione di medicina generale</t>
  </si>
  <si>
    <t>1.2 - Verso un ospedale sicuro e sostenibile - Nuovi progetti (Contributi dall'Unione Europea)</t>
  </si>
  <si>
    <t>Innovazione, ricerca e digitalizzazione del servizio sanitario</t>
  </si>
  <si>
    <t>1.2 - Verso un ospedale sicuro e sostenibile - Nuovi progetti (Contributi dallo Stato)</t>
  </si>
  <si>
    <t>Reti di prossimità, strutture e telemedicina per l'assistenza sanitaria territoriale</t>
  </si>
  <si>
    <t>1.2 - Casa come primo luogo di cura e telemedicina - COT - INTERCONNESSIONE AZIENDALE</t>
  </si>
  <si>
    <t>1.3 - Rafforzamento dell'assistenza sanitaria intermedia e delle sue strutture - Ospedali di Comunità</t>
  </si>
  <si>
    <t>1.1 - Case della Comunità e presa in carico della persona</t>
  </si>
  <si>
    <t>1.2.2 - Casa come primo luogo di cura e telemedicina - Implementazione delle Centrali Operative Territoriali</t>
  </si>
  <si>
    <t xml:space="preserve">ALER e Comuni </t>
  </si>
  <si>
    <t>75.881.173,59 finora a disposixione</t>
  </si>
  <si>
    <t>scadenza bando regionale 19 aprile
 Chiuso il 17 maggio 2022  il bando ministeriale. In attesa della graduatoria ministeriale dei finanziati che saranno cofinanziati da RL</t>
  </si>
  <si>
    <r>
      <rPr>
        <b/>
        <sz val="12"/>
        <color theme="1"/>
        <rFont val="Calibri Light"/>
        <family val="2"/>
      </rPr>
      <t>DM 4 del 12 gennaio 2022</t>
    </r>
    <r>
      <rPr>
        <sz val="12"/>
        <color theme="1"/>
        <rFont val="Calibri Light"/>
        <family val="2"/>
      </rPr>
      <t xml:space="preserve">  Ciclovia Vento (Lotto 3 e Lotto 5)</t>
    </r>
  </si>
  <si>
    <t>Approvata dgr XI/6456 del 31/05/2022 che ha destinato le risorse PNRR all'acquisto di 7 treni Caravaggio di Hitachi (CUP E80D17000010003), all'interno del contratto applicativo del 30/9/2021 di CIG 8863450E50.</t>
  </si>
  <si>
    <t xml:space="preserve">Nel DI n. 530/2021 sono definiti i seguenti output:
1) stipula contratti autobus
2) forniture delle quantità minime di autobus previste all'Allegato 1 dello stesso DI
</t>
  </si>
  <si>
    <t xml:space="preserve">Nel DI n. 530/2021 sono definiti i seguenti termini:
1) stipula contratti autobus: 31/12/2023
2) forniture delle quantità minime di autobus:
31/12/2024: per 115 autobus
30/06/2026: per 437 autobus
</t>
  </si>
  <si>
    <t>Milestone
-Dicembre 2023: Aggiudicazione di (tutti gli) appalti pubblici per la realizzazione di piste ciclabili, metropolitane, filovie e funivie in aree metropolitane
Target
-GIugno 2026: Costruzione di almeno 206 km di infrastruttura di trasporto pubblico.</t>
  </si>
  <si>
    <t xml:space="preserve">Milestone
-Giugno 2023:  Aggiudicazione di (tutti gli) appalti pubblici per il rinnovo del parco ferroviario per il trasporto pubblico regionale con treni a combustibili puliti
-Dicembre 2024: Entrata in servizio di almeno 25 treni a emissioni zero
 -GIugno 2026: Acquisto di almeno 150 treni a emissioni zero
</t>
  </si>
  <si>
    <t>Milestone
- Dicembre 2023: stipula contratti
- Termini per forniture delle quantità minime di autobus:
31/12/2024: per 115 autobus
30/06/2026: per 437 autobus</t>
  </si>
  <si>
    <t xml:space="preserve">11 Comuni capoluogo tranne Sondrio
Le risorse sono assegnate dallo Stato ai Comuni e Regione Lombardia non interviene in alcun passaggio del processo di finanziamento di mezzi e infrastrutture. 
Il DI prevede la possibilità che le risorse siano messe a disposizione delle Agenzie per il TPL tramite Convenzione coi Comuni beneficiari. </t>
  </si>
  <si>
    <r>
      <rPr>
        <b/>
        <sz val="12"/>
        <color theme="1"/>
        <rFont val="Calibri Light"/>
        <family val="2"/>
      </rPr>
      <t xml:space="preserve">DECRETO 29 novembre 2021 </t>
    </r>
    <r>
      <rPr>
        <sz val="12"/>
        <color theme="1"/>
        <rFont val="Calibri Light"/>
        <family val="2"/>
      </rPr>
      <t xml:space="preserve"> Misura M2C2-Investimento 5.3 del Piano nazionale di ripresa e resilienza (PNRR), per il sostegno alla trasformazione verde e digitale dell'industria degli autobus al fine di produrre veicoli elettrici e connessi.
Risorse destinate a  sostenere  la realizzazione di progetti di  trasformazione industriale, finalizzati allo sviluppo della filiera produttiva degli autobus, mediante lo strumento dei Contratti di  sviluppo.</t>
    </r>
  </si>
  <si>
    <t>Target
-Giugno 2023: 150 interventi per il miglioramento dell'accessibilità fisica e cognitiva nei luoghi di cultura
-  Giugno 2024: 370 interventi per il miglioramento dell'accessibilità fisica e cognitiva nei luoghi di cultura
-Giugno 2026: 617 interventi per il miglioramento dell'accessibilità fisica e cognitiva nei luoghi di cultura
entro giugno 2026: almeno 600 interventi di miglioramento dell'accessibilità fisica e cognitiva nei luoghi di cultura completati (352 tra musei, monumenti, aree archeologiche e parchi, 129 archivi, 46 biblioteche e 90 siti culturali non statali. Il 37% al Sud).</t>
  </si>
  <si>
    <r>
      <rPr>
        <sz val="12"/>
        <color theme="1"/>
        <rFont val="Rockwell"/>
        <family val="1"/>
        <scheme val="minor"/>
      </rPr>
      <t>300.000.000 €,  di cui poco meno la metà destinata a musei regionali, provinciali, civici o privati, gestiti da enti pubblici o organizzazioni senza scopo di lucro.</t>
    </r>
    <r>
      <rPr>
        <b/>
        <sz val="12"/>
        <color theme="1"/>
        <rFont val="Rockwell"/>
        <family val="2"/>
        <scheme val="minor"/>
      </rPr>
      <t xml:space="preserve"> 
120.000.000€ per istituti non statali di natura pubblica.
7.460.000€ per istituti non statali di natura privata.</t>
    </r>
  </si>
  <si>
    <t>Persone fisiche e soggetti privati profit e non profit, ivi compresi gli enti ecclesiastici civilmente riconosciuti, enti del terzo settore e altre associazioni, fondazioni, cooperative, imprese in forma individuale o societaria.</t>
  </si>
  <si>
    <t>3.2 Capacity building per gli operatori della cultura per gestire la transizione digitale e verde</t>
  </si>
  <si>
    <t>155000000
115.000.000€ per la transizione digitale delle imprese culturali creative
10.000.000€ per la formazione delle imprese alla transizione digitale
20.000.000€ per la transizione verde delle ICC
10.000.000€ per la formazione delle imprese alla transizione verde.</t>
  </si>
  <si>
    <t>L’8 giugno 2022, il Dipartimento per la Finanza Locale del Ministero dell’Interno ha erogato l’acconto del contributo “piccole opere” - PNRR – M2C4 - Investimento 2.2 Interventi per la resilienza, la valorizzazione del territorio e l’efficienza energetica dei comuni - Articolo 1, comma 29 e seguenti, legge 27 dicembre 2019, n.160.
 Il contributo è stato corrisposto nella misura del 50% dell’importo dovuto agli enti che hanno provveduto a regolarizzare la loro posizione sul sistema di monitoraggio Bdap-Mop.
I mandati di pagamento sono stati inviati all’Ufficio di controllo del MEF (U.C.B. presso il Ministero dell’interno), attraverso il Sistema SICOGE, per l’inoltro alla Banca d’Italia e il successivo accreditamento ai Comuni. I beneficiari dell’erogazione, in regola con quanto previsto dall’articolo 161 del TUEL, sono stati sino ad ora 889 Comuni per un totale erogato pari ad euro 55.545.000 euro</t>
  </si>
  <si>
    <t>1) 30 giugno 2022
2) 2025</t>
  </si>
  <si>
    <t xml:space="preserve"> Inviato il 13 maggio 2022 al DFP la revisione del Piano Territoriale con le modifiche all'elenco delle procedure su cui ridurre i tempi e azzerare l'arretrato.
1) invio della baseline al Dipartimento della Funzione Pubblica 
2) Riduzione 100% dell'arretrato e dei tempi delle procedure (-20%)</t>
  </si>
  <si>
    <t>1.2 Piano di  estensione del tempo pieno scuole e mense</t>
  </si>
  <si>
    <t xml:space="preserve">
31/12/2025</t>
  </si>
  <si>
    <t xml:space="preserve">1) approvazione del PAR DGR 6006 DEL 25 FEBBRAIO 2022  e invio ad ANPAL per l'approvazione entro marzo 2022: APPROVATO  
2) Approvata con dgr 6427 aggiornamento e pubblicazione del piano attuativo regionale del programma di garanzia di occupabilita’ dei lavoratori (GOL) nell'ambito del piano nazionale di ripresa e resilienza (PNRR) e approvazione delle linee guida per l'attuazione della prima fase.
</t>
  </si>
  <si>
    <t>Importo Italia definito nel Decreto 343 del 02-12-2021. Importo Lombardia ottenuto dalla graduatoria del Ministero dell'Istruzione filtrando le sole scuole ammesse (non quelle ammesse con riserva). Precedente importo di 37.259.126,58 €</t>
  </si>
  <si>
    <t>Modificato a seguito di pubblicazione graduatorie scuole (15 in Lombardia)</t>
  </si>
  <si>
    <t xml:space="preserve">
entro il 2022 deve essere approvato un piano d'azione. Previsto per Ottobre.
per la riqualificazione dei siti orfani2026 70% terreni bonificati</t>
  </si>
  <si>
    <t>Aggiornato elenco strutture con dgr 6080 del 7 marzo 2022
Approvatocon DGR 6426 del 23 maggio il PIANO OPERATIVO REGIONALE (POR) E CONTESTUALE INDIVIDUAZIONE DEGLI INTERVENTI, CON RIPARTIZIONE DELLE CORRISPONDENTI QUOTE DI FINANZIAMENTO PNRR/PNC - INDIVIDUAZIONE DEI SOGGETTI ATTUATORI ESTERNI</t>
  </si>
  <si>
    <t xml:space="preserve">
18.658.505</t>
  </si>
  <si>
    <t>DM 6 agosto 2021 
DM 191 del 17 maggio 2022</t>
  </si>
  <si>
    <r>
      <rPr>
        <b/>
        <sz val="12"/>
        <color theme="1"/>
        <rFont val="Calibri Light"/>
        <family val="2"/>
      </rPr>
      <t>Entro e non oltre il 28 febbraio 2023</t>
    </r>
    <r>
      <rPr>
        <sz val="12"/>
        <color theme="1"/>
        <rFont val="Calibri Light"/>
        <family val="2"/>
      </rPr>
      <t xml:space="preserve">: invio al MITE delle specifiche da inserire negli atti di garaTarget M2C4-36
- </t>
    </r>
    <r>
      <rPr>
        <b/>
        <sz val="12"/>
        <color theme="1"/>
        <rFont val="Calibri Light"/>
        <family val="2"/>
      </rPr>
      <t>Entro e non oltre il 31 dicembre 2023:</t>
    </r>
    <r>
      <rPr>
        <sz val="12"/>
        <color theme="1"/>
        <rFont val="Calibri Light"/>
        <family val="2"/>
      </rPr>
      <t xml:space="preserve"> aggiudicazione di tutti gli appalti pubblici degli
interventi per le reti fognarie e la depurazione (Target M2C4-36);
-</t>
    </r>
    <r>
      <rPr>
        <b/>
        <sz val="12"/>
        <color theme="1"/>
        <rFont val="Calibri Light"/>
        <family val="2"/>
      </rPr>
      <t xml:space="preserve"> Entro e non oltre il 30 giugno 2024:</t>
    </r>
    <r>
      <rPr>
        <sz val="12"/>
        <color theme="1"/>
        <rFont val="Calibri Light"/>
        <family val="2"/>
      </rPr>
      <t xml:space="preserve"> conclusione degli interventi per le reti fognarie e la
depurazione al fine di consentire, a livello nazionale, la riduzione di almeno 570.000 abitanti
residenti in agglomerati non conformi alla direttiva 91/271/CEE del Consiglio a causa
dell’inadeguatezza della raccolta e del trattamento delle acque reflue urbane (Target M2C4-37);
-</t>
    </r>
    <r>
      <rPr>
        <b/>
        <sz val="12"/>
        <color theme="1"/>
        <rFont val="Calibri Light"/>
        <family val="2"/>
      </rPr>
      <t xml:space="preserve"> Entro e non oltre il 31 marzo 2026</t>
    </r>
    <r>
      <rPr>
        <sz val="12"/>
        <color theme="1"/>
        <rFont val="Calibri Light"/>
        <family val="2"/>
      </rPr>
      <t>: conclusione degli interventi per le reti fognarie e la
depurazione al fine di consentire, a livello nazionale, la riduzione di almeno 2.002.911 abitanti
residenti in agglomerati non conformi alla direttiva 91/271/CEE del Consiglio a causa
dell’inadeguatezza della raccolta e del trattamento delle acque reflue urbane (Target M2C4-38)</t>
    </r>
  </si>
  <si>
    <t>Importo stanziato 20.000.000€</t>
  </si>
  <si>
    <t>1.844.595,33 € per i musei, 9.828.201,54 € per i teatri, 9.497.812,24 € per i cinema</t>
  </si>
  <si>
    <t>2.4 Sicurezza sismica nei luoghi di culto, restauro del patrimonio culturale del Fondo Edifici di Culto e siti di ricovero per le opere d'arte (Recovery Art)</t>
  </si>
  <si>
    <t>DG Sicurezza Patrimonio Culturale (Ministero della Cultura)</t>
  </si>
  <si>
    <t>Decreto Ministero della Cultura n.455 del 07/06/2022</t>
  </si>
  <si>
    <t>Dalla ricerca all'impresa</t>
  </si>
  <si>
    <t>1.5 Creazione e rafforzamento di "ecosistemi dell'innovazione per la sostenibilità", costruendo "leader territoriali di R&amp;S"</t>
  </si>
  <si>
    <t>1.4: Potenziamento strutture di ricerca e creazione di “campioni nazionali di R&amp;S” su alcune Key Enabling Technologies</t>
  </si>
  <si>
    <t>Decreti di ammissione al finanziamento Avviso 3138 del 16.12.2021 rettificato con D.D.3175 del 18.12.2021
https://www.mur.gov.it/it/atti-e-normativa/decreti-di-ammissione-al-finanziamento-avviso-3138-del-16122021-rettificato-con</t>
  </si>
  <si>
    <t>Ministero dell'Università e della Ricerca</t>
  </si>
  <si>
    <t>Agevolazione per Università Bicocca - Progetto MUSA: Multilayered Urban Sustainability Action</t>
  </si>
  <si>
    <t>Agevolazione per Politecnico di Milano - Progetto Sustainable Mobility Center (Centro Nazionale per la Mobilità Sostenibile – CNMS)</t>
  </si>
  <si>
    <t>Decreti di ammissione al finanziamento Avviso 3277 del 30 dicembre 2021
https://www.mur.gov.it/it/atti-e-normativa/decreti-di-ammissione-al-finanziamento-avviso-3277-del-30-dicembre-2021</t>
  </si>
  <si>
    <t>3.1: Fondo per la realizzazione di un sistema integrato di infrastrutture di ricerca e innovazione</t>
  </si>
  <si>
    <t>Ricerca</t>
  </si>
  <si>
    <t>Istruzione</t>
  </si>
  <si>
    <t>Somma degli importi destinati a università lombarde</t>
  </si>
  <si>
    <t>Decreti di ammissione al finanziamento Avviso 3265 del 28 dicembre 2021
https://www.mur.gov.it/it/atti-e-normativa/decreti-di-ammissione-al-finanziamento-avviso-3265-del-28-dicembre-2021</t>
  </si>
  <si>
    <t xml:space="preserve"> 1.5 Sviluppo del sistema di formazione professionale terziaria (ITS)</t>
  </si>
  <si>
    <t>Istruzione e ricerca (M4)</t>
  </si>
  <si>
    <t>Patrimonio culturale (M3)</t>
  </si>
  <si>
    <t>Patrimonio culturale (M1C3)</t>
  </si>
  <si>
    <t>Patrimonio culturale</t>
  </si>
  <si>
    <t>Inv. 3.2 Green Communities</t>
  </si>
  <si>
    <t>Scadenza presentazione proposte d’intervento:
le proposte d’intervento sono attese entro le ore 23:59 del giorno 16 agosto 2022</t>
  </si>
  <si>
    <t>individuazione di almeno 30 proposte di intervento per la realizzazione di piani di sviluppo di Green Communities da finanziare</t>
  </si>
  <si>
    <t>Dipartimento per gli affari regionali e le autonomie</t>
  </si>
  <si>
    <t>primo riparto di 500 mln</t>
  </si>
  <si>
    <t xml:space="preserve"> RIFORMA 1.7 : Alloggi per gli studenti e riforma della legislazione sugli alloggi per studenti </t>
  </si>
  <si>
    <t>INVESTIMENTO 1.7 Borse di studio per l'accesso all'università</t>
  </si>
  <si>
    <t>per
l’a.a. 2022/2023, i Fondi comunitari previsti dal Piano Nazionale di Ripresa e
Resilienza (PNRR), che confluiscono nel Fondo Integrativo Statale di cui
all’articolo 18, comma 1, lettera a), del DLgs 68/2012</t>
  </si>
  <si>
    <t>1.1 . 5 Strategia digitale e piattaforme per il patrimonio culturale</t>
  </si>
  <si>
    <t>DECRETO 5 novembre 2021 .
Adozione del Programma nazionale per la garanzia di occupabilità dei lavoratori (GOL).</t>
  </si>
  <si>
    <t>Infrastrutture sociali, famiglie, comunità e terzo settore</t>
  </si>
  <si>
    <t>Traguardo:  Conclusione procedura di
selezione delle Green
Communities (DEntro III trimestre
2022
Obiettivo: Completamento di almeno
il 90% degli interventi
previsti nei Piani delle
Green Communities
-  Entro II trimestre
2026</t>
  </si>
  <si>
    <t>1.4 - Intervento straordinario finalizzato alla riduzione dei divari territoriali nei cicli I e II della scuola secondaria di secondo grado (contrasto alla dispersione scolastica)</t>
  </si>
  <si>
    <t>https://pnrr.istruzione.it/wp-content/uploads/2022/06/M4C1I.1.4_Dispersione_Riparto_regionale.pdf</t>
  </si>
  <si>
    <t>ASST</t>
  </si>
  <si>
    <t>Comune di Pertica Alta</t>
  </si>
  <si>
    <r>
      <t xml:space="preserve">
</t>
    </r>
    <r>
      <rPr>
        <u/>
        <sz val="12"/>
        <color rgb="FF0070C0"/>
        <rFont val="Calibri Light"/>
        <family val="2"/>
      </rPr>
      <t>N</t>
    </r>
    <r>
      <rPr>
        <u/>
        <sz val="12"/>
        <rFont val="Calibri Light"/>
        <family val="2"/>
      </rPr>
      <t>OTA MINISTRO DELLA CULTURA DEL 09.12.2021 (MIC_UDCM_GABINETTO|09/12/2021|0034822-P).</t>
    </r>
    <r>
      <rPr>
        <sz val="12"/>
        <rFont val="Calibri Light"/>
        <family val="2"/>
      </rPr>
      <t xml:space="preserve">
</t>
    </r>
    <r>
      <rPr>
        <u/>
        <sz val="12"/>
        <rFont val="Calibri Light"/>
        <family val="2"/>
      </rPr>
      <t>D.G.R. 21 dicembre 2021 - n. XI/5763</t>
    </r>
    <r>
      <rPr>
        <sz val="12"/>
        <rFont val="Calibri Light"/>
        <family val="2"/>
      </rPr>
      <t xml:space="preserve"> “Avvio attuazione del PNNR Componente M1C3 Turismo e Cultura 4.0 – Misura 2. Rigenerazione di piccoli siti culturali, patrimonio culturale religioso e rurale - Intervento 2.1 attrattività dei borghi - Linea di Azione A. - Individuazione procedure per la selezione di un borgo come progetto pilota per la Lombardia per la rigenerazione culturale, sociale ed economica a rischio abbandono e abbandonati. Nota Ministro della Cultura del 9 dicembre 2021 (MIC_UDCM_ Gabinetto|09/12/2021 0034822-P)”</t>
    </r>
    <r>
      <rPr>
        <sz val="12"/>
        <color rgb="FFFF0000"/>
        <rFont val="Calibri Light"/>
        <family val="2"/>
      </rPr>
      <t xml:space="preserve">
LINEA DI AZIONE A.</t>
    </r>
    <r>
      <rPr>
        <sz val="12"/>
        <color theme="1"/>
        <rFont val="Calibri Light"/>
        <family val="2"/>
      </rPr>
      <t xml:space="preserve"> - PROGETTI PILOTA PER LA RIGENERAZIONE CULTURALE, SOCIALE ED ECONOMICA DEI BORGHI A RISCHIO ABBANDONO E ABBANDONATI </t>
    </r>
  </si>
  <si>
    <t>Cultura/architettura rurale/patrimonio architettonico rurale</t>
  </si>
  <si>
    <t>Le Regioni e le Province autonome provvedono all’istruttoria delle domande pervenute e trasmettono gli elenchi delle domande ammissibili a finanziamento al Ministero della cultura
entro il 30 novembre 2022. 
Realizzazione e conclusione degli interventi (target = n. 328 interventi) entro il 31/12/2025.</t>
  </si>
  <si>
    <r>
      <rPr>
        <sz val="12"/>
        <rFont val="Calibri Light"/>
        <family val="2"/>
      </rPr>
      <t>DECRETO MINISTERO CULTURA 20.12.2021 "Avviso pubblico per la presentazione di Proposte di intervento per la rigenerazione culturale e sociale dei piccoli borghi storici da finanziare nell’ambito del PNRR, Missione 1 – Digitalizzazione, innovazione, competitività e cultura, Component 3 – Cultura 4.0 (M1C3). Misura 2 “Rigenerazione di piccoli siti culturali, patrimonio culturale, religioso e rurale”, Investimento 2.1: “Attrattività dei borghi storici”, finanziato dall’Unione europea - NextGenerationEU</t>
    </r>
    <r>
      <rPr>
        <sz val="12"/>
        <color theme="1"/>
        <rFont val="Calibri Light"/>
        <family val="2"/>
      </rPr>
      <t xml:space="preserve">
</t>
    </r>
    <r>
      <rPr>
        <b/>
        <sz val="12"/>
        <color rgb="FFFF0000"/>
        <rFont val="Calibri Light"/>
        <family val="2"/>
      </rPr>
      <t>LINEA DI AZIONE B</t>
    </r>
    <r>
      <rPr>
        <sz val="12"/>
        <color theme="1"/>
        <rFont val="Calibri Light"/>
        <family val="2"/>
      </rPr>
      <t xml:space="preserve">. PROGETTI LOCALI PER LA RIGENERAZIONE CULTURALE DEI PICCOLI BORGHI STORICI
</t>
    </r>
  </si>
  <si>
    <r>
      <t>1)</t>
    </r>
    <r>
      <rPr>
        <b/>
        <sz val="12"/>
        <color theme="1"/>
        <rFont val="Calibri Light"/>
        <family val="2"/>
      </rPr>
      <t>20 dicembre 2021</t>
    </r>
    <r>
      <rPr>
        <sz val="12"/>
        <color theme="1"/>
        <rFont val="Calibri Light"/>
        <family val="2"/>
      </rPr>
      <t xml:space="preserve">
2) Entro il </t>
    </r>
    <r>
      <rPr>
        <b/>
        <sz val="12"/>
        <color theme="1"/>
        <rFont val="Calibri Light"/>
        <family val="2"/>
      </rPr>
      <t xml:space="preserve">15 marzo 2022
</t>
    </r>
    <r>
      <rPr>
        <sz val="12"/>
        <color theme="1"/>
        <rFont val="Calibri Light"/>
        <family val="2"/>
      </rPr>
      <t xml:space="preserve">
</t>
    </r>
    <r>
      <rPr>
        <b/>
        <sz val="12"/>
        <color theme="1"/>
        <rFont val="Calibri Light"/>
        <family val="2"/>
      </rPr>
      <t xml:space="preserve">3) Entro maggio 2022- </t>
    </r>
    <r>
      <rPr>
        <sz val="12"/>
        <color theme="1"/>
        <rFont val="Calibri Light"/>
        <family val="2"/>
      </rPr>
      <t xml:space="preserve"> </t>
    </r>
    <r>
      <rPr>
        <sz val="12"/>
        <rFont val="Calibri Light"/>
        <family val="2"/>
      </rPr>
      <t>I</t>
    </r>
    <r>
      <rPr>
        <b/>
        <sz val="12"/>
        <rFont val="Calibri Light"/>
        <family val="2"/>
      </rPr>
      <t>l decreto ministeriale è stato emanato il 07.06.22  - n. 453</t>
    </r>
    <r>
      <rPr>
        <b/>
        <sz val="12"/>
        <color rgb="FF0070C0"/>
        <rFont val="Calibri Light"/>
        <family val="2"/>
      </rPr>
      <t xml:space="preserve">
</t>
    </r>
    <r>
      <rPr>
        <sz val="12"/>
        <color theme="1"/>
        <rFont val="Calibri Light"/>
        <family val="2"/>
      </rPr>
      <t xml:space="preserve"> 
</t>
    </r>
    <r>
      <rPr>
        <b/>
        <sz val="12"/>
        <color theme="1"/>
        <rFont val="Calibri Light"/>
        <family val="2"/>
      </rPr>
      <t>4) Entro giugno 2026</t>
    </r>
    <r>
      <rPr>
        <sz val="12"/>
        <color theme="1"/>
        <rFont val="Calibri Light"/>
        <family val="2"/>
      </rPr>
      <t xml:space="preserve"> </t>
    </r>
  </si>
  <si>
    <r>
      <t xml:space="preserve">Importo stanziato </t>
    </r>
    <r>
      <rPr>
        <b/>
        <sz val="12"/>
        <rFont val="Calibri Light"/>
        <family val="2"/>
      </rPr>
      <t xml:space="preserve">35.318.470,68€  </t>
    </r>
  </si>
  <si>
    <t xml:space="preserve">DM di ripartizione risorse: in attesa di pubblicazione </t>
  </si>
  <si>
    <t>non sono previste risorse del fondo complementare per assistenza tecnica
Il MITD non ha aderito alla procedura prevista dalla circolare n. 6 del 24/01/2022 (capacity Italy)</t>
  </si>
  <si>
    <t xml:space="preserve">Complessivamente: entro 2026 target 2.000.000 di cittadini 
Per piano operativo: 
- m3 - 100% del target T1 - Cittadini raggiunti
- t2 2025- Servizi forniti Q4 2025
</t>
  </si>
  <si>
    <r>
      <t>Sottoscrittori degli Accordi di rete (</t>
    </r>
    <r>
      <rPr>
        <sz val="12"/>
        <rFont val="Calibri Light"/>
        <family val="2"/>
      </rPr>
      <t>Punti di Primo Contatto)
Comuni, CPIA, Enti e Istituti di formazione, Centri servizi/sportelli delle Parti Sociali ( Enti del Terzo Settore, Ordini e Associazioni professionali, altre realtà di
aggregazione, etc</t>
    </r>
  </si>
  <si>
    <t>Regione Lombardia-PagoPA</t>
  </si>
  <si>
    <t>Approvazione candidatura RL</t>
  </si>
  <si>
    <t>80.000.000,00 £</t>
  </si>
  <si>
    <t>Risorse erogate a sportello</t>
  </si>
  <si>
    <t>Il finanziamento verrà erogato dal DTD al termine di finestre temporali della durata di 30 gg che possono presentarsi a partire dal 9 settembre 2022</t>
  </si>
  <si>
    <t>35.000.000,00 £</t>
  </si>
  <si>
    <t>30.000.000,00 £</t>
  </si>
  <si>
    <t>Risorse erogate a forfait</t>
  </si>
  <si>
    <t>Il finanziamento verrà erogato dal DTD a partire dal 9 settembre 2022, a seguito di verifica applicativa da parte di PagoPA</t>
  </si>
  <si>
    <t>Avviso pubblico - Dipartimento per la Trasformazione Digitale  a valere sulle risorse della Missione 1 - Componente 1 del PNRR - finanziato dall’Unione europea nel contesto
dell’iniziativa Next Generation EU.
https://areariservata.padigitale2026.gov.it/Pa_digitale2026_dettagli_avviso?id=a017Q00000koKymQAE</t>
  </si>
  <si>
    <t>Avviso pubblico - Dipartimento per la Trasformazione Digitale  a valere sulle risorse della Missione 1 - Componente 1 del PNRR - finanziato dall’Unione europea nel contesto
dell’iniziativa Next Generation EU.
https://areariservata.padigitale2026.gov.it/Pa_digitale2026_dettagli_avviso?id=a017Q00000koTdhQAE</t>
  </si>
  <si>
    <t>Avviso pubblico - Dipartimento per la Trasformazione Digitale  a valere sulle risorse della Missione 1 - Componente 1 del PNRR - finanziato dall’Unione europea nel contesto
dell’iniziativa Next Generation EU.
https://areariservata.padigitale2026.gov.it/Pa_digitale2026_dettagli_avviso?id=a017Q00000koTeyQAE</t>
  </si>
  <si>
    <r>
      <rPr>
        <b/>
        <sz val="12"/>
        <color theme="1"/>
        <rFont val="Calibri Light"/>
        <family val="2"/>
      </rPr>
      <t>DM 4 del 12 gennaio 2022</t>
    </r>
    <r>
      <rPr>
        <sz val="12"/>
        <color theme="1"/>
        <rFont val="Calibri Light"/>
        <family val="2"/>
      </rPr>
      <t xml:space="preserve"> Ciclovia Garda (Lotto 2)</t>
    </r>
  </si>
  <si>
    <t>Rendicontati inizialmente complessivamente n. 36 interventi presenti in RENDIS finanziati già dal MITE con Piano stralcio 2019-2020. Sulla base degli ultimi criteri stabiliti dal Mite, comunicati in data 24/04/2022, sono ammissibili sul PNRR, ad oggi, n.  17 interventi, per un importo totale di 24.586.836,23. Si è in attesa di riscontro formale dal MITE.</t>
  </si>
  <si>
    <t>In attesa di riscontro formale del MITE</t>
  </si>
  <si>
    <t>Milestone
- Dicembre 2023: Aggiudicazione di tutti gli appalti 
pubblici per interventi in materia di 
gestione e riduzione dei rischi idrogeologici
- Giugno 2026: Attività di test dei progetti finanziati per la mitigazione del rischio idrogeologico
Target
-Giugno 2025: 100% di lavori aggiudicati per interventi di tipo D 
-Dicembre 2025: Completamento degli interventi di tipo E
-Marzo 2026: Riduzione di almeno 1.500. 000 il numero di persone esposte a rischi di alluvione e a rischi idrologici diretti
- Giugno 2026: 100% interventi completati e testati</t>
  </si>
  <si>
    <t xml:space="preserve">Soldi non assegnati ancora. In discussione  DPCM  di assegnazione e modalità di trasferimento delle risorse. Solo a seguito di tale approvazione transiteranno i soldi (ancora non si sa se su contabilità ordinaria e speciale).
</t>
  </si>
  <si>
    <t>Comuni, comunità montane e Province</t>
  </si>
  <si>
    <t>3.2: Scuola 4.0 - scuoile innovative, nuove aule didattiche e laboratori</t>
  </si>
  <si>
    <t>Allegato 1 - Riparto delle risorse alle istituzioni scolastiche in attuazione del Piano “Scuola 4.0” e della linea di investimento 3.2 “Scuola 4.0",
finanziata dall'Unione Europea - Next generation EU - Azione 1 - Next Generation Classrooms
Allegato 2 - Riparto delle risorse alle istituzioni scolastiche in attuazione del Piano “Scuola 4.0” e della linea di investimento 3.2 “Scuola 4.0",
finanziata dall'Unione Europea - Next generation EU - Azione 2 - Next Generation Labs</t>
  </si>
  <si>
    <t>187.028.474,57 € per le aule, 53.240.717,22 per i laboratori</t>
  </si>
  <si>
    <t>Consorzi di Bonifica ed Enti irrigui</t>
  </si>
  <si>
    <t>Programma di azione per la rinaturazione del Po</t>
  </si>
  <si>
    <t>3.1 - Sport e inclusione sociale</t>
  </si>
  <si>
    <t>Infrastrutture / Sport</t>
  </si>
  <si>
    <t>https://www.sport.governo.it/it/pnrr/notizie/pubblicati-i-primi-decreti-di-ammissione-a-finanziamento-cluster-1-e-2-e-cluster-3/</t>
  </si>
  <si>
    <t xml:space="preserve">Importo di 150 milioni nel quinquennio non confermato
</t>
  </si>
  <si>
    <t>1) In fase di realizzazione le attività previste dal piano regionale di Potenziamento, già raggiunto il target del 50% delle azioni previste  (non infrastrutturali) relativamente al rafforzamento degli organici dei CPI;
2) In fase di attuazione interventi infrastrutturali previsti dal Piano di Potenziamento per raggiungere obiettivo del 90% entro il 2025</t>
  </si>
  <si>
    <t xml:space="preserve">singole istituzioni scolastiche </t>
  </si>
  <si>
    <t>//</t>
  </si>
  <si>
    <t xml:space="preserve">non è ancora stato pubblicato il decreto ministeriale che ripartisce direttamente le risorse alle istituzioni scolastiche
</t>
  </si>
  <si>
    <t>agosto 2023 (scadenza anno accademico)</t>
  </si>
  <si>
    <t>31-dic. 23</t>
  </si>
  <si>
    <t xml:space="preserve">A partire da gennaio 2023 testing/rendicontazione attività per avvio procedura di erogazione del finanziamento statale   </t>
  </si>
  <si>
    <t xml:space="preserve"> Completamento attività 31 dicembre 2023, </t>
  </si>
  <si>
    <t>1) In data 5/9/22 approvazione decreto di assegnazione risorse a RL da parte del Dipartimento per l'Innovazione Tercnologica e Digitalizzazione.</t>
  </si>
  <si>
    <t>Dic. 2025 (obiettivo UE)
Giu 2026 (obiettivo nazionale)
1.685.654 immagini digitali entro fine 2025.</t>
  </si>
  <si>
    <r>
      <t>DELIBERAZIONE N° XI / 6259 Seduta del 11/04/2022 Oggetto:  PIANO NAZIONALE DI RIPRESA E RESILIENZA M1C3 INVESTIMENTO 2.2 - APPROVAZIONE DEI REQUISITI E CRITERI PER LA PREDISPOSIZIONE DEL BANDO ARCHITETTURA RURALE 2022 FINANZIATO DALL’UNIONE EUROPEA – NEXTGENERATIONEU
Decreto d.d.g. n. 5058  del 3 aprile 2022 - Oggetto: Bando Architettura Rurale 2022. 
Decreto d.d.g. n. 9850 del 6 luglio 2022 - Approvazione degli Esiti del Bando (Ammessi 123 progett per 15 MilEuro)
Decreto d.d.g. n. 10742 del 13 luglio 2022 - Bando Architettura rurale - seconda finestra</t>
    </r>
    <r>
      <rPr>
        <sz val="12"/>
        <color rgb="FFFF0000"/>
        <rFont val="Calibri Light"/>
        <family val="2"/>
      </rPr>
      <t xml:space="preserve">. </t>
    </r>
    <r>
      <rPr>
        <sz val="12"/>
        <rFont val="Calibri Light"/>
        <family val="2"/>
      </rPr>
      <t>Apertura di una seconda finestra del bando, dal 19 luglio al 29 settembre 2022.</t>
    </r>
  </si>
  <si>
    <t xml:space="preserve">Importo stanziato per la Lombardia pari a 49.253.212,76, presentate 411 domande. Di queste 123 sono già state ammesse a contributo per un importo di 15.207.319,99 €  (decreto esiti prima finestra n. 10247 del 13 luglio 2022). I rimanenti € 34.045.892,77 sono stati  stanziati per la seconda finestra del bando di cui è in atto la fase di valutazione. </t>
  </si>
  <si>
    <r>
      <t xml:space="preserve">1) Regioni presentano la proposta, come definita di intesa con il Comune, al MiC del Progetto di rigenerazione sociale ed economica di un borgo storico
Fase negoziale condotta da una Comitato tecnico, istituito dal MiC alla quale partecipano, MiC, un rappresentante  delle Regioni, ANCI , Associazioni che fanno parte del “Comitato Nazionale dei Borghi” 
2) ammissione a finanziamento delle 21 proposte (attraverso DM) e l’assegnazione delle risorse al Soggetto attuatore individuato nella proposta presentata, cui vengono delegate le responsabilità gestionali e attuative dell’intervento. 
</t>
    </r>
    <r>
      <rPr>
        <sz val="12"/>
        <rFont val="Calibri Light"/>
        <family val="2"/>
      </rPr>
      <t xml:space="preserve">
3) Con Decreto Ministero Cultura n. 453 del 07.06.22 assegnati euro 18.452.500,00 al Comune di Pertica Alta. Firmato il Disciplinare d'Obblighi tra RL, MiC e Comune il 5 settembre</t>
    </r>
    <r>
      <rPr>
        <sz val="12"/>
        <color theme="1"/>
        <rFont val="Calibri Light"/>
        <family val="2"/>
      </rPr>
      <t xml:space="preserve">
4) entro il 30 giugno 2026: termine per la realizzazione degli interventi previsti nel progetto pilota</t>
    </r>
  </si>
  <si>
    <t>Fondi non ancora a bilancio
Il Piano d’azione, che rappresenta il quadro giuridico per la bonifica del suolo dei siti orfani, contenente gli interventi ammessi a finanziamento, è stato approvato con decreto ministeriale n. 301 del 4 agosto 2022, registrato dalla Corte dei conti il 31 agosto 2022.</t>
  </si>
  <si>
    <t>In data 2 agosto 2022, con decreto n. 96, l'Autorità di Bacino Distrettuale del fiume Po ha approvato la versione definitiva del Programma d'Azione.</t>
  </si>
  <si>
    <t>In attesa di nuovo decreto ministeriale per la ripartizione delle risorse e l'approvazione dello schema di bando per la presentazione delle istanze, previsto entro fine aprile. Rispetto a quanto definito con l'avviso pubblico 27509 del 15/12/2021, pubblicato sulla G.U. del 27 gennaio 2022, il cronoprogramma di attuazione della misura sarà ridefinito.
Alla data del 5 ottobre 20220, il decreto risulta essere in attesa del parere della CE sulla verifica di compatibilità con la disciplina sugli aiuti di Stato.</t>
  </si>
  <si>
    <t xml:space="preserve">Lo scorso  23 marzo sono scaduti i termini per la presentazione delle istanze. Regione non è coinvolta nell'attuazione della misura. La misura è rivolta alle imprese.
Il 30 settembre 2022 è stata resa pubblica la proposta di graduatoria riferita alla linea C dell'investimento.
</t>
  </si>
  <si>
    <t>per una quota (400 milioni di euro a livello nazionale) l’intervento è classificato come “progetto in essere” avviato prima del PNRR e quindi in corso, ma il Ministero del Lavoro non ha ancora effettuato il piano di riparto che consentirebbe di quantificare esattamente la quota assegnata a Regione Lombardia su questa fonte nell’ambito del più ampio finanziamento già assegnato dal Ministero del Lavoro. Allo stesso modo ancora manca il riparto degli ulteriori 200 milioni di euro, che invece sarebbero nativi PNRR, che è attualmente in fase di definizione.</t>
  </si>
  <si>
    <t>15.423.000 euro
Importo attualmente stanziato in bilancio su capitolo PNRR ma relativo a risorse statali e comprensivo dei 423.000 € relativi alla comunicazione</t>
  </si>
  <si>
    <r>
      <rPr>
        <b/>
        <sz val="14"/>
        <rFont val="Rockwell"/>
        <family val="1"/>
        <scheme val="minor"/>
      </rPr>
      <t xml:space="preserve">1)  ottobre </t>
    </r>
    <r>
      <rPr>
        <sz val="14"/>
        <color theme="1"/>
        <rFont val="Rockwell"/>
        <family val="1"/>
        <scheme val="minor"/>
      </rPr>
      <t xml:space="preserve">
</t>
    </r>
    <r>
      <rPr>
        <sz val="12"/>
        <color theme="1"/>
        <rFont val="Rockwell"/>
        <family val="2"/>
        <scheme val="minor"/>
      </rPr>
      <t xml:space="preserve">
</t>
    </r>
  </si>
  <si>
    <t>DM 26 novembre 2021 sui criteri di riparto per il primo anno
 - Decreto di riparto per il 2022: https://www.lavoro.gov.it/documenti-e-norme/normative/Documents/2022/DD-54-del-220722-risorse-duale-PNRR-prima-tranche-visti-Ucb-Cdc.pdf
 - DGR 6766 del 25/07/2022 Aggiornamento e pubblicazione del documento di programmazione regionale dell’offerta formativa “Sistema Duale” di Regione Lombardia nell'ambito del PNRR Missione 5 - Componente 1 - Investimento 1.4 
 - DGR 6851 del 02/08/2022 Approvazione delle linee di intervento e delle azioni del sistema di istruzione e formazione professionale, a valere sul PNRR "Sistema Duale" e ulteriori interventi complementari per l’A.F. 2022/23
 - DDUO n. 14158 del 04.10.2022 Accertamento dell'importo complessivo di euro 33.915.786,00 a carico del Ministero del Lavoro e delle Politiche Sociali con riferimento all’Investimento 1.4 “Sistema Duale”, di cui alla Missione 5 “Inclusione e Coesione”, Componente 1 “Politiche per il lavoro” del PNRR, finanziato dall’Unione Europea – Next Generation EU
 - DGR 7117 del 10/10/2022 Approvazione dello schema di accordo ai sensi dell’articolo 5, comma 6 del D.Lgs.50/2016 tra Unità di Missione, Ministero del Lavoro e delle politiche sociali e Regione Lombardia</t>
  </si>
  <si>
    <t>approvata dgr 6633 DETERMINAZIONI IN MERITO AI CRITERI ED ALLE PREVISIONI DI FINANZIAMENTO – ANCHE A VALERE SUL PNRR, MISSIONE 4, COMPONENTE 1, INVESTIMENTO 1.7 – PER L'ASSEGNAZIONE DEI BENEFICI A CONCORSO PER IL DIRITTO ALLO STUDIO UNIVERSITARIO. ANNO ACCADEMICO 2022-2023</t>
  </si>
  <si>
    <r>
      <t>DM 229 del 6 agosto 2021</t>
    </r>
    <r>
      <rPr>
        <sz val="14"/>
        <color theme="4" tint="-0.249977111117893"/>
        <rFont val="Calibri Light"/>
        <family val="2"/>
      </rPr>
      <t xml:space="preserve"> - Edilizia Sanitaria </t>
    </r>
  </si>
  <si>
    <t>Ministero della Salute</t>
  </si>
  <si>
    <t>PNC</t>
  </si>
  <si>
    <t>Obiettivo : Completamento degli interventi antisismici nelle strutture ospedaliere - Termine 30 giugno 2026</t>
  </si>
  <si>
    <t>Approvato con DGR 6426 del 23 maggio il PIANO OPERATIVO REGIONALE (POR) E CONTESTUALE INDIVIDUAZIONE DEGLI INTERVENTI, CON RIPARTIZIONE DELLE CORRISPONDENTI QUOTE DI FINANZIAMENTO PNRR/PNC - INDIVIDUAZIONE DEI SOGGETTI ATTUATORI ESTERNI
Sottoscritto il CIS ( CONTRATTO ISTITUZIONALE DI SVILUPPO ) dal Presidente della Regione in data 31.05.2022
Con decreto DGW  n. 8332 del 13.06.2022 sono stati assegnate ed impegnate alle ASST, soggetti attuatori esterni, le risorse del PNRR e PNC pari complessivamente a €. 495.638.148,00 di cui alla DGR n. XI/6426/2022 per gli interventi di cui alla Missione 6 Component 1.1.2 Grandi apparecchiature e 1.2 Verso un ospedale sicuro e sostenibile 
DGR 7061 del 3 ottobre 2022 Regione Lombardia ha accolto le richieste delle Aziende Sanitarie (ASST e IRCCS) stanziando 39 milioni per finanziare i lavori edili e impiantistici necessari per l’installazione di 299 delle 380 apparecchiature sanitarie (TAC, Risonanze Magnetiche, Acceleratori Lineari, Sistemi radiologici, Angiografi, Gamma Camere, PET e Mammografi) finanziate con  PNRR.</t>
  </si>
  <si>
    <t xml:space="preserve">Approvatocon DGR 6426 del 23 maggio il PIANO OPERATIVO REGIONALE (POR) E CONTESTUALE INDIVIDUAZIONE DEGLI INTERVENTI, CON RIPARTIZIONE DELLE CORRISPONDENTI QUOTE DI FINANZIAMENTO PNRR/PNC - INDIVIDUAZIONE DEI SOGGETTI ATTUATORI ESTERNI
Sottoscritto il CIS ( CONTRATTO ISTITUZIONALE DI SVILUPPO ) dal Presidente della Regione in data 31.05.2022
Con decreto DGW  n. 8332 del 13.06.2022 sono stati assegnate ed impegnate alle ASST, soggetti attuatori esterni, le risorse del PNRR e PNC pari complessivamente a €. 495.638.148,00 di cui alla DGR n. XI/6426/2022 per gli interventi di cui alla Missione 6 Component 1.1.2 Grandi apparecchiature e 1.2 Verso un ospedale sicuro e sostenibile </t>
  </si>
  <si>
    <t>Le risorse PNRR sono legate per la Lombardia al raggiungimento di circa 135.000 persone in più con un ampliamento della platea anche agli adulti. Tali risorse  non sostituiscono quindi le risorse autonome e statali attualmente impiegate sistema duale lombardo.
Approvate con dgr 6635 del 4 luglio 2022 il DOCUMENTO DI PROGRAMMAZIONE REGIONALE DELL’OFFERTA FORMATIVA “SISTEMA DUALE” DI REGIONE LOMBARDIA    GIA' CITATA IN DECRETO/ATTO E SPECIFICA
1 ) Valutazione e assegnazione offerta formativa da parte della Regione/PA (pubblicazione graduatorie soggetti ammessi a finanziamento)</t>
  </si>
  <si>
    <r>
      <rPr>
        <b/>
        <strike/>
        <sz val="12"/>
        <color theme="1"/>
        <rFont val="Calibri Light"/>
        <family val="2"/>
      </rPr>
      <t xml:space="preserve">
</t>
    </r>
    <r>
      <rPr>
        <b/>
        <sz val="12"/>
        <rFont val="Calibri Light"/>
        <family val="2"/>
      </rPr>
      <t>Approvazione accordo e piano operativo</t>
    </r>
    <r>
      <rPr>
        <b/>
        <sz val="12"/>
        <color theme="1"/>
        <rFont val="Calibri Light"/>
        <family val="2"/>
      </rPr>
      <t xml:space="preserve">
</t>
    </r>
  </si>
  <si>
    <t>in data martedì 7 giugno 2022  Regione Lombardia ha espresso i la volontà di non partecipare al progetto proposto dal Min.Cultura sui manutentori di giardini di dimore storiche.</t>
  </si>
  <si>
    <t>Interventi finanziati  al Commissario Straordinario per il dissesto idrogeologico con piani stralcio 2019-2020, a valere sul PNRR come interventi a rendicontazione. Già in parte spesi e rendicontati periodicamente al MITE. Il Ministero doveva rendicontare entro dicembre 2021 all'UE. Fatte le verifiche di compatibilità dell'esigibilità di quei fondi. Sono stati rendicontati al MITE, RL non ha avuto ritorni se quei fondi sono stati riconosciuti dall'UE come pnrr.
I soggetti attuatori sono Comuni, Aipo e Consorzi di Bonifica (I RUP sono di questi Enti). Interventi: 17
I soldi sono nel bilancio del commissario 55/80 contabilità speciale del presidente, che sia avvale degli uffici regionali. Ancora da ultimare la spesa.</t>
  </si>
  <si>
    <t>31-05-2022: Sottoscrizione Contratto Istituzionale di Sviluppo (CIS) da Presidente di RL e trasmesso al Ministero della Salute.</t>
  </si>
  <si>
    <t>Digitalizzazione DEA I e II livello.
Milestone: 31/12/2022 Aggiudicazione di tutti gli appalti pubblici/CONSIP
Target: 30/06/2022  Digitalizzazione delle strutture ospedaliere (DEA - Dipeartimenti di emergenza e accettazione - Livelli I e II)</t>
  </si>
  <si>
    <t>FNM/FN/Trenord</t>
  </si>
  <si>
    <r>
      <rPr>
        <b/>
        <sz val="12"/>
        <rFont val="Calibri Light"/>
        <family val="2"/>
      </rPr>
      <t xml:space="preserve"> </t>
    </r>
    <r>
      <rPr>
        <b/>
        <sz val="12"/>
        <color rgb="FFFF0000"/>
        <rFont val="Calibri Light"/>
        <family val="2"/>
      </rPr>
      <t>Regione Lombardia</t>
    </r>
  </si>
  <si>
    <t>TEB (Tramvie Elettriche Bergamasche)</t>
  </si>
  <si>
    <r>
      <rPr>
        <b/>
        <sz val="12"/>
        <rFont val="Calibri Light"/>
        <family val="2"/>
      </rPr>
      <t xml:space="preserve">DM 448 del 16 novembre 2021 </t>
    </r>
    <r>
      <rPr>
        <sz val="12"/>
        <rFont val="Calibri Light"/>
        <family val="2"/>
      </rPr>
      <t>Bus Rapid Transit Bergamo</t>
    </r>
  </si>
  <si>
    <t>Prima CdS sincrona sul PFTE effettuata venerdì 22 luglio 2022.
Convocata da Provincia di Bergamo CdS decisoria sincrona sul PFTE in data 20 ottobre 2022.</t>
  </si>
  <si>
    <t xml:space="preserve">In attesa di convocazione di CdS sul progetto definito da parte della provinica di Bergamo.
Gli Accordi con cui sono stati asegnati i finanziamenti sono: 
PER IL FINANZIAMENTO STATALE: Convenzione del 28.09.2021 tra MIMS, Regione Lombardia e Comune di Bergamo, regolante il finanziamento per assicurare la realizzazione dell’intervento “Linea tranviaria T2 della Valle Brembana, Bergamo-Villa D'Alme”, di cui al D.M. n. 607 del 27.12.2019 di riparto delle risorse di cui all’art. 1, comma 1072 della L.205/2017 di rifinanziamento del Fondo di cui all'articolo 1, comma 140, della legge 11 dicembre 2016, n. 232, destinate al trasporto rapido di massa. (CUP H21D18000120001)
PER IL FINANZIAMENTO REGIONALE: Accordo del 30.06.2021 tra Regione Lombardia, Comune di Bergamo e Tramvie Elettriche Bergamasche S.p.A. per la realizzazione dell’intervento denominato “Linea tranviaria T2 della valle Brembana Bergamo – Villa d'Almè” (CUP H21D18000120001)
</t>
  </si>
  <si>
    <r>
      <t>DM 315 del 2/8/2021</t>
    </r>
    <r>
      <rPr>
        <sz val="12"/>
        <color theme="1"/>
        <rFont val="Calibri Light"/>
        <family val="2"/>
      </rPr>
      <t xml:space="preserve"> -</t>
    </r>
    <r>
      <rPr>
        <b/>
        <sz val="12"/>
        <color theme="1"/>
        <rFont val="Calibri Light"/>
        <family val="2"/>
      </rPr>
      <t xml:space="preserve"> Fondo complementare</t>
    </r>
    <r>
      <rPr>
        <sz val="12"/>
        <color theme="1"/>
        <rFont val="Calibri Light"/>
        <family val="2"/>
      </rPr>
      <t xml:space="preserve"> per rinnovo flotte bus
Rinnovo del materiale rotabile con autobus alimentati a metano, </t>
    </r>
    <r>
      <rPr>
        <sz val="12"/>
        <color rgb="FFFF0000"/>
        <rFont val="Calibri Light"/>
        <family val="2"/>
      </rPr>
      <t>elettrici e a idrogeno</t>
    </r>
    <r>
      <rPr>
        <sz val="12"/>
        <color theme="1"/>
        <rFont val="Calibri Light"/>
        <family val="2"/>
      </rPr>
      <t xml:space="preserve"> e relative infrastrutture di alimentazione, adibiti al trasporto pubblico locale extraurbano</t>
    </r>
  </si>
  <si>
    <r>
      <t>Milestone
-</t>
    </r>
    <r>
      <rPr>
        <b/>
        <sz val="12"/>
        <color rgb="FFFF0000"/>
        <rFont val="Calibri Light"/>
        <family val="2"/>
      </rPr>
      <t>Dicembre</t>
    </r>
    <r>
      <rPr>
        <b/>
        <sz val="12"/>
        <color theme="1"/>
        <rFont val="Calibri Light"/>
        <family val="2"/>
      </rPr>
      <t xml:space="preserve"> 2022: Stipula dei contratti per autobus e infrastrutture
- Dicembre 2024: 50 % degli autobus consegnati e immatricolati;
-Dicembre 2026: 100% degli autobus consegnati, immatricolati e messi in servizio.
</t>
    </r>
  </si>
  <si>
    <t>1) Il Termine per la stipula dei contratti è stato prorogato al 31/12/2022 con il Decreto del Ministro dell’Economia e delle Finanze del 1/08/2022. In applicazione di tale DM, Regione con il decreto n. 13891 del 29/09/2022 ha prorogato al 31/03/2023 il termine per le Agenzie per la trasmissione della dichiarazione relativa all'avvenuta stipula dei contratti nel rispetto del termine ministeriale del 31/12/2022 per la sottoscrizione degli stessi.
2) Realizzazione 50% del programma di forniture: 31/05/2024 e completamento del programma: 29/05/2026.</t>
  </si>
  <si>
    <t>Approvata a novembre 2021  dgr assegnazione risorse alle agenzie di TPL.
1) Stipula contratti acquisto autobus e contratti di appalto per le infrastrutture di supporto.
2) Realizzazione del 50% del programma di forniture e completamento del programma.</t>
  </si>
  <si>
    <t xml:space="preserve">Obbligazione giuridicamente vincolante </t>
  </si>
  <si>
    <t>Perfezionamneto entro 31.12.22</t>
  </si>
  <si>
    <t>Avvio gare di appalto integrato - 30.8.22</t>
  </si>
  <si>
    <t>1.2.2  - Casa come primo luogo di cura e telemedicina - COT-DEVICE</t>
  </si>
  <si>
    <t xml:space="preserve">1.1 2- Ammodernamento del parco tecnologico e digitale ospedaliero - Grandi apparecchiature </t>
  </si>
  <si>
    <t>1.1.1. - Ammodernamento del parco tecnologico e digitale ospedaliero - Digitalizzazione DEA I e II livello</t>
  </si>
  <si>
    <t>1.3.2 - Rafforzamento dell'infrastruttura tecnologica e degli strumenti per la raccolta, l’elaborazione, l’analisi dei dati e la simulazione - Nuovi flussi informativi nazionali</t>
  </si>
  <si>
    <t>Dipartimento trasformazione digitale</t>
  </si>
  <si>
    <t xml:space="preserve">1.3.1 b Adozione e utilizzo del fascicolo sanitario elettronico </t>
  </si>
  <si>
    <r>
      <t xml:space="preserve">Politiche abitative Lombardia  - FC+PINQUA +Ecobonus  </t>
    </r>
    <r>
      <rPr>
        <b/>
        <sz val="14"/>
        <color rgb="FFFF0000"/>
        <rFont val="Calibri Light"/>
        <family val="2"/>
      </rPr>
      <t>(RL+Altri)</t>
    </r>
  </si>
  <si>
    <t xml:space="preserve">Politiche abitative Lombardia  - FC+PINQUA + Ecobonus </t>
  </si>
  <si>
    <t>DM 232 del 8 agosto 2022</t>
  </si>
  <si>
    <r>
      <t>DM 229 del 6 agosto 2021</t>
    </r>
    <r>
      <rPr>
        <sz val="14"/>
        <rFont val="Calibri Light"/>
        <family val="2"/>
      </rPr>
      <t xml:space="preserve"> - Edilizia Sanitaria </t>
    </r>
  </si>
  <si>
    <t>Aggiornato elenco strutture con dgr 6080 del 7 marzo 2022
Approvatocon DGR 6426 del 23 maggio il PIANO OPERATIVO REGIONALE (POR) E CONTESTUALE INDIVIDUAZIONE DEGLI INTERVENTI, CON RIPARTIZIONE DELLE CORRISPONDENTI QUOTE DI FINANZIAMENTO PNRR/PNC - INDIVIDUAZIONE DEI SOGGETTI ATTUATORI ESTERNI
Approvata DGR XI/6928 del 12 settembre 2022 "PIANO NAZIONALE DI RIPRESA E RESILIENZA MISSIONE 6, COMPONENTE 2, INTERVENTO 1.3.1 "RAFFORZAMENTO DELL'INFRASTRUTTURA TECNOLOGICA E DEGLI STRUMENTI PER LA RACCOLTA, L'ELABORAZIONE, L'ANALISI DEI DATI E LA SIMULAZIONE (ADOZIONE E UTILIZZO FASCICOLO SANITARIO ELETTRONICO DA PARTE DELLE REGIONI / PROVINCE AUTONOME)" - PRIME DETERMINAZIONI IN MERITO AL POTENZIAMENTO DEL FASCICOLO SANITARIO ELETTRONICO REGIONALE</t>
  </si>
  <si>
    <t>L'Accordo per progettazione e realizzazione de Lotto Lombardo con il Parco del Mincio è stato sottocritto il 3 dicembre 2020. 
 I lavori sono stati avviati il 31.08.2022 e si concluderanno il 31.12.2023</t>
  </si>
  <si>
    <r>
      <t>Milestone
-Marzo 2023: Aggiudicazione delle risorse alle Regioni</t>
    </r>
    <r>
      <rPr>
        <strike/>
        <sz val="12"/>
        <rFont val="Calibri Light"/>
        <family val="2"/>
      </rPr>
      <t xml:space="preserve">
</t>
    </r>
    <r>
      <rPr>
        <sz val="12"/>
        <rFont val="Calibri Light"/>
        <family val="2"/>
      </rPr>
      <t>Target
- Giugno 2026: Realizzazione di almeno 10 stazioni di rifornimento a base di idrogeno per i treni lungo sei linee ferroviarie in Italia</t>
    </r>
  </si>
  <si>
    <t>Aler</t>
  </si>
  <si>
    <t>Nei documenti ufficiali Aler è denominato soggetto attuatore e Regione soggetto beneficiario. Per ragioni di omogeneità e di calcolo del file di monitoraggio viene indicato soggetto attuatore Regione Lombardia che detiene i capitoli di enetrata e di spesa.</t>
  </si>
  <si>
    <t>Decreto n. 28 - 1 / 2022 - PNRR
https://areariservata.padigitale2026.gov.it/Pa_digitale2026_dettagli_avviso?id=a017Q00000c8mFyQAI#decreti%20di%20finanziamento</t>
  </si>
  <si>
    <t xml:space="preserve">Decreto n. 32 - 1 / 2022 - PNRR
https://areariservata.padigitale2026.gov.it/Pa_digitale2026_dettagli_avviso?id=a017Q00000dk829QAA#decreti%20di%20finanziamento
</t>
  </si>
  <si>
    <t>1.4.1 - Esperienza del Cittadino nei servizi pubblici - Comuni</t>
  </si>
  <si>
    <t>1.6 Nuovi percorsi per l'orientamento scuola-lavoro</t>
  </si>
  <si>
    <t>https://www.mur.gov.it/sites/default/files/2022-10/Decreto%20Direttoriale%20n.%201639%20del%2017-10-2022.pdf</t>
  </si>
  <si>
    <t>Somma degli importi destinati a 17 istituti tra Università, Conservatori e istituti superiori di studi musicali</t>
  </si>
  <si>
    <t>DECRETO DIRETTORE GENERALE MIMS N. 594 del 24.08.22</t>
  </si>
  <si>
    <t>Gestori del Servizio Idrico Integrato</t>
  </si>
  <si>
    <t>Uffici d'Ambito Territoriale Ottimale</t>
  </si>
  <si>
    <t>Ricognizione di interventi del Servizio Idrico Integrato che soddisfino i criteri del DM, con priorità per quelli funzionali al superamento delle situazioni in infrazione EU: approvata graduatoria con Decreto del Direttore Generale n. 15056 del 20/10/22  e caricate sulla piattaforma appositamente messa a disposizione dal MITE n. 26  istanze progettuali, per un totale richiesto di 106.249.807,97. Di queste 18 appartengono alla lista prioritaria per le quali è previsto il finanziamento con fondi PNRR spettanti alla Lombardia. Il tutto su delega del Presidente)</t>
  </si>
  <si>
    <t>In attesa dell'istruttoria da parte del MITE</t>
  </si>
  <si>
    <t>Riforma 4.1 Semplificazione normativa e rafforzamento della governance per la realizzazione di investimenti nelle infrastrutture di approvvigionamento idrico</t>
  </si>
  <si>
    <t>In attesa del Decreto ai sensi del decreto-legge 31 maggio 2021, n. 77, come convertito con la legge 29 luglio 2021, n. 108, concernente “Governance del Piano nazionale di ripresa e resilienza e prime misure di rafforzamento delle strutture amministrative e di accelerazione e snellimento delle procedure”;</t>
  </si>
  <si>
    <t>Autorità di bacino distrettuali e gli Enti di governo dell'ambito e gli altri enti territoriali coinvolti</t>
  </si>
  <si>
    <t>Soggetti individuati dai soggetti attuatori</t>
  </si>
  <si>
    <t>Trasmissione con cadenza annuale al Ministero delle infrastrutture e della mobilità sostenibili  delle informazioni e la documentazione necessaria alla definizione e all’aggiornamento del Piano</t>
  </si>
  <si>
    <t>da definire</t>
  </si>
  <si>
    <t>In attesa della pubblicazione del decreto</t>
  </si>
  <si>
    <t>Resilienza agrosistema irriguo</t>
  </si>
  <si>
    <r>
      <t xml:space="preserve">65 milioni di risorse digitali, a livello nazionale, pubblicate e accessibili dalla Digital Library entro Dicembre 2025. 75 milioni entro Giugno 2026.
</t>
    </r>
    <r>
      <rPr>
        <b/>
        <sz val="12"/>
        <color rgb="FF00B0F0"/>
        <rFont val="Rockwell"/>
        <family val="1"/>
        <scheme val="minor"/>
      </rPr>
      <t>Per Regione Lombardia il decreto di riparto assegna un obiettivo di 1.685.654 immagini digitali entro fine 2025.</t>
    </r>
    <r>
      <rPr>
        <sz val="12"/>
        <rFont val="Rockwell"/>
        <family val="2"/>
        <scheme val="minor"/>
      </rPr>
      <t xml:space="preserve">
Approvata la dgr 6537 del 20 giugno 2022 DETERMINAZIONI IN ORDINE ALLA MODALITÀ DI SELEZIONE DEI PROGETTI PER ATTIVITÀ DI DIGITALIZZAZIONE DEL PATRIMONIO CULTURALE LOMBARDO IN ATTUAZIONE DEL PIANO NAZIONALE DI RIPRESA E RESILIENZA (PNRR).
Pubblicate due manifestazioni d'interesse (una su archivi storici e una su periodici di interesse culturale) per raccogliere progetti di digitalizzazione proposti da enti esterni.
</t>
    </r>
    <r>
      <rPr>
        <b/>
        <sz val="12"/>
        <color rgb="FF00B0F0"/>
        <rFont val="Rockwell"/>
        <family val="1"/>
        <scheme val="minor"/>
      </rPr>
      <t>Con DDS 15702/22 approvate le due graduatorie finali e selezionati 10 progetti nell'ambito archivi (9 soggetti partner) e 6 progetti nell'ambito pubblicazioni locali (6 soggetti partner).
I partner selezionati e Regione Lombardia contribuiranno con il proprio patrimonio di beni culturali al raggiungimento degli obiettivi: in corso analisi dettagliata delle proposte finalizzata alla preparazione delle gare tramite Invitalia.</t>
    </r>
  </si>
  <si>
    <r>
      <t xml:space="preserve">Avvio delle digitalizzazioni stimato entro primo semestre del 2023.
</t>
    </r>
    <r>
      <rPr>
        <b/>
        <sz val="12"/>
        <color rgb="FF00B0F0"/>
        <rFont val="Rockwell"/>
        <family val="1"/>
        <scheme val="minor"/>
      </rPr>
      <t>Piano analitico regionale delle digitalizzazioni entro 30/11.</t>
    </r>
  </si>
  <si>
    <r>
      <t xml:space="preserve">Il Ministero ha pubblicato i due avvisi per la presentazione delle proposte progettuali (uno per i soggetti pubblici e uno per quelli privati). Il termine per la presentazione delle domande è il 12 agosto 2022.
</t>
    </r>
    <r>
      <rPr>
        <sz val="14"/>
        <rFont val="Calibri Light"/>
        <family val="2"/>
      </rPr>
      <t>L'istruttoria è in capo al Ministero</t>
    </r>
    <r>
      <rPr>
        <b/>
        <sz val="14"/>
        <color rgb="FF00B0F0"/>
        <rFont val="Calibri Light"/>
        <family val="2"/>
      </rPr>
      <t xml:space="preserve">
In totale sono state avanzate 1.178 istanze in risposta all’Avviso scaduto il 12 agosto  (355 soggetti privati e 823 soggetti pubblici non MiC). È in corso la valutazione della completezza della documentazione delle domande pervenute e dei requisiti per l’ammissibilità. Non è disponibile il n. dei progetti lombardi.
È stata istituita con decreto direttoriale rep. n. 1010 del 15 settembre 2022 la Commissione per la valutazione delle istanze.</t>
    </r>
  </si>
  <si>
    <r>
      <t xml:space="preserve">
Il 14 giugno 2022</t>
    </r>
    <r>
      <rPr>
        <sz val="14"/>
        <rFont val="Calibri Light"/>
        <family val="2"/>
      </rPr>
      <t xml:space="preserve"> si è tenuta l'udienza pubblica presso il </t>
    </r>
    <r>
      <rPr>
        <sz val="14"/>
        <color theme="1"/>
        <rFont val="Calibri Light"/>
        <family val="2"/>
      </rPr>
      <t xml:space="preserve">TAR Lombardia sul ricorso presentato dal Comune di Aicurzio avverso la dgr 6105 del 14.03.22 che ha individuato il Comune di Pertica Alta - borgo di Livemmo come progtto pilota per la Lombardia. </t>
    </r>
    <r>
      <rPr>
        <b/>
        <sz val="14"/>
        <rFont val="Calibri Light"/>
        <family val="2"/>
      </rPr>
      <t>Respinto</t>
    </r>
    <r>
      <rPr>
        <sz val="14"/>
        <rFont val="Calibri Light"/>
        <family val="2"/>
      </rPr>
      <t>.</t>
    </r>
    <r>
      <rPr>
        <sz val="14"/>
        <color theme="1"/>
        <rFont val="Calibri Light"/>
        <family val="2"/>
      </rPr>
      <t xml:space="preserve">
</t>
    </r>
    <r>
      <rPr>
        <b/>
        <sz val="14"/>
        <color rgb="FF00B0F0"/>
        <rFont val="Calibri Light"/>
        <family val="2"/>
      </rPr>
      <t>Prosegue la collaborazione con ANCI Lombardia, Fondazione Cariplo, Unioncamere Lombardia, POLIS e ARIA Spa per l'attane della Misura di investimento (si Linea A che Linea B)</t>
    </r>
  </si>
  <si>
    <t>1) il Mnistero della Cultura pubblica un avviso
2) i comuni presentano le candidature
3) ammissione a finanziamento delle proposte e assegnazione delle risorse ai Comuni 
4) conclusione interventi</t>
  </si>
  <si>
    <r>
      <t xml:space="preserve">In seguito verrà emanato avviso ministeriale per il sostegno alle imprese: euro 19.264.620,38 (Linea B 2) 
</t>
    </r>
    <r>
      <rPr>
        <b/>
        <sz val="14"/>
        <color rgb="FF00B0F0"/>
        <rFont val="Calibri Light"/>
        <family val="2"/>
      </rPr>
      <t>08.11.22: il Ministero della Cultura ha trasmesso ad ANCI e alla Commissione Cultura la bozza di avviso per le imprese dei borghi della linea B, per valutazione e successivo confronto</t>
    </r>
  </si>
  <si>
    <r>
      <t xml:space="preserve">Milestones:
- Giugno 2022: decreto MIC assegnazione risorse
- Settembre 2022: Invito del Ministero della cultura alla selezione di PMI per sviluppare l'attrattiva Piccole città storiche. 
</t>
    </r>
    <r>
      <rPr>
        <b/>
        <sz val="12"/>
        <color rgb="FF00B0F0"/>
        <rFont val="Calibri Light"/>
        <family val="2"/>
      </rPr>
      <t>Al 14.11.2022 l'invito non è ancora stato emanato dal Ministero della Cultura</t>
    </r>
    <r>
      <rPr>
        <sz val="12"/>
        <color theme="1"/>
        <rFont val="Calibri Light"/>
        <family val="2"/>
      </rPr>
      <t xml:space="preserve">
Target:
- Settembre 2023: 25 Piccole città hanno iniziato le realizzazioni
- Settembre 2024: 85 Piccole città che hanno iniziato le realizzazioni
- Giugno 2026: 250 Piccole città che hanno iniziato le realizzazioni
- Giugno 2025: 1300 Interventi di valorizzazione di 
siti culturali o turistici ultimati
- Giugno 2026: 2300  Interventi di valorizzazione di 
siti culturali o turistici ultimati</t>
    </r>
  </si>
  <si>
    <r>
      <t xml:space="preserve">Regione Lombardia, individuata dal Ministero della Cultura come soggetto attuatore di quanto previsto dal Piano Nazionale di Ripresa e Resilienza per il restauro e la valorizzazione del patrimonio architettonico e paesaggistico rurale, individuerà (tramite bando) soggetti ammissibili che proporranno interventi su beni di loro proprietà al fine di:
preservare i valori dei paesaggi rurali storici attraverso la tutela e la valorizzazione dei beni della cultura materiale e immateriale e al mantenimento e rispristino della qualità paesaggistica dei luoghi; Promuovere la creazione di iniziative e attività legate ad una fruizione turistico-culturale sostenibile, alle tradizioni e alla cultura locale. Gli interventi oggetto della misura hanno come finalità la conservazione e valorizzazione di una articolata gamma di edifici storici rurali e di tutela del paesaggio rurale. 
Al 24 giugno 2022 sono stati presentati 235 progetti e sono stati ammessi 123 progetti per un contributo ammissibile totale di € 15.207.319,99 euro.
</t>
    </r>
    <r>
      <rPr>
        <b/>
        <sz val="12"/>
        <rFont val="Calibri Light"/>
        <family val="2"/>
      </rPr>
      <t xml:space="preserve">Il 29.09.22 si è chiusa la seconda finestra del bando con n. </t>
    </r>
    <r>
      <rPr>
        <b/>
        <sz val="12"/>
        <color rgb="FF00B0F0"/>
        <rFont val="Calibri Light"/>
        <family val="2"/>
      </rPr>
      <t>172</t>
    </r>
    <r>
      <rPr>
        <b/>
        <sz val="12"/>
        <rFont val="Calibri Light"/>
        <family val="2"/>
      </rPr>
      <t xml:space="preserve"> domande di contributo, in fase di valutazione.</t>
    </r>
  </si>
  <si>
    <r>
      <t xml:space="preserve">Bandio pubblicato dal MiC dedicatI a micro e piccole imprese e soggetti del terzo settorE appartenenti al settore culturale e creativo. </t>
    </r>
    <r>
      <rPr>
        <b/>
        <sz val="12"/>
        <color rgb="FF00B0F0"/>
        <rFont val="Rockwell"/>
        <family val="1"/>
        <scheme val="minor"/>
      </rPr>
      <t>Decreto Ministero della Cultura n. 385 del 19/10/2022</t>
    </r>
  </si>
  <si>
    <t>03.11.2022: apertura bando
01.02.2023: termine presentazione domande</t>
  </si>
  <si>
    <t>DGR 5872 del 24.01.2022 - DETERMINAZIONI RELATIVE AL NUOVO SISTEMA PER LA GESTIONE DIGITALE DEL TERRITORIO Aggiornato elenco strutture con dgr 6080 del 7 marzo 2022
Approvatocon DGR 6426 del 23 maggio il PIANO OPERATIVO REGIONALE (POR) E CONTESTUALE INDIVIDUAZIONE DEGLI INTERVENTI, CON RIPARTIZIONE DELLE CORRISPONDENTI QUOTE DI FINANZIAMENTO PNRR/PNC - INDIVIDUAZIONE DEI SOGGETTI ATTUATORI ESTERNI
Sottoscrizione Contratto Istituzionale di Sviluppo (CIS) da Presidente di RL e trasmesso al Ministero della Salute.</t>
  </si>
  <si>
    <t>DGR 5872 del 24.01.2022 -  
DETERMINAZIONI RELATIVE AL NUOVO SISTEMA PER LA GESTIONE DIGITALE DEL TERRITORIO                                                                 Aggiornato elenco strutture con dgr 6080 del 7 marzo 2022
Approvatocon DGR 6426 del 23 maggio il PIANO OPERATIVO REGIONALE (POR) E CONTESTUALE INDIVIDUAZIONE DEGLI INTERVENTI, CON RIPARTIZIONE DELLE CORRISPONDENTI QUOTE DI FINANZIAMENTO PNRR/PNC - INDIVIDUAZIONE DEI SOGGETTI ATTUATORI ESTERNI
Sottoscrizione Contratto Istituzionale di Sviluppo (CIS) da Presidente di RL e trasmesso al Ministero della Salute.</t>
  </si>
  <si>
    <t>1.5 Cybersecurity</t>
  </si>
  <si>
    <t>Avviso Pubblico per la presentazione di proposte per la realizzazione di interventi di potenziamento della resilienza cyber delle Regioni, dei Comuni capoluogo facenti parte di Città metropolitane, delle Province autonome a valere sul PNRR, Missione 1 – Componente 1 – Investimento 1.5 “Cybersecurity”</t>
  </si>
  <si>
    <t>Regioni, Province, Città Metropolitane</t>
  </si>
  <si>
    <t>presentazione candidatura bando</t>
  </si>
  <si>
    <t>in attesa di accoglimento della domanda</t>
  </si>
  <si>
    <r>
      <t xml:space="preserve">1) Approvazione candidatura RL
2) Approvazione decreto di assegnazione risorse RL
2) richiesta finanziamento entro 18 mesi dalla data di approvazione del decreto di assegnazione risorse.  
</t>
    </r>
    <r>
      <rPr>
        <b/>
        <sz val="12"/>
        <color rgb="FF0070C0"/>
        <rFont val="Calibri Light"/>
        <family val="2"/>
      </rPr>
      <t>3) Istituzione capitolo PNRR  per accertamento finanziamento</t>
    </r>
  </si>
  <si>
    <r>
      <t xml:space="preserve">1) Approvazione candidatura RL
</t>
    </r>
    <r>
      <rPr>
        <b/>
        <sz val="12"/>
        <color rgb="FF0070C0"/>
        <rFont val="Calibri Light"/>
        <family val="2"/>
      </rPr>
      <t>2) Approvazione decreto di assegnazione del finanziamento RL
3) Istituzione capitolo PNRR per accertamento finanziamento</t>
    </r>
    <r>
      <rPr>
        <b/>
        <sz val="12"/>
        <rFont val="Calibri Light"/>
        <family val="2"/>
      </rPr>
      <t xml:space="preserve">
</t>
    </r>
  </si>
  <si>
    <t>Agenzia per la Cybersecurity Nazionale</t>
  </si>
  <si>
    <t>Sicurezza/sistemi informativi</t>
  </si>
  <si>
    <r>
      <rPr>
        <sz val="12"/>
        <color rgb="FFFF0000"/>
        <rFont val="Calibri"/>
        <family val="2"/>
      </rPr>
      <t xml:space="preserve">Decreto MIMS n. 52 del 30/03/2022: approvazione elenco degli interventi ammissibili.
Decreto MIM5  n. 224 del 05/11/2021: trasferimento  1a tranche delle risorse pari a euro 25.293.724,53;
Decreto MIMS n. 5 del 05/04/2022: trasferimento 2a tranche delle risorse pari a euro 50.587.449,06;
Complessivamente, il MIMS ha traferito a RL l'anticipazione del 30% % del finanziamento concesso, pari a euro 75.881.173,59.  Regione a settembre 2022 ha  erogato ai soggetti attuatori l'anticipo del 15%
Verificata la prima scadenza del 30 giugno 2022 relativa all'affidamento degli incarichi di progettazione, rispettata da tutti i soggetti attuatori. 
Con Decreto del MEF del  2/8/2022  rispetto al cronoprogramma procedurale approvato con decreto MEF del 15/07/2021, la prossima scadenza è il 31/12/2021, termine entro cui i soggetti attuatori dovranno pubblicare i bandi di gara per la realizzazione dell'opera/esecuzione lavori.
La criticità al raggiungimento dell'obiettivo potrebbe essere il mancato rilascio del parere di competenza delle soprintendenze, dove previsto.
Presentato </t>
    </r>
    <r>
      <rPr>
        <b/>
        <sz val="12"/>
        <rFont val="Calibri"/>
        <family val="2"/>
      </rPr>
      <t>emendamento 1017</t>
    </r>
    <r>
      <rPr>
        <sz val="12"/>
        <rFont val="Calibri"/>
        <family val="2"/>
      </rPr>
      <t xml:space="preserve"> </t>
    </r>
    <r>
      <rPr>
        <sz val="12"/>
        <color rgb="FFFF0000"/>
        <rFont val="Calibri"/>
        <family val="2"/>
      </rPr>
      <t xml:space="preserve">  (V. DDL 2646,  atto di conversione del DL 68) che renderebbe il parere non vincolante in caso di conferenza di servizi.</t>
    </r>
    <r>
      <rPr>
        <b/>
        <sz val="12"/>
        <color rgb="FFFF0000"/>
        <rFont val="Calibri"/>
        <family val="2"/>
      </rPr>
      <t xml:space="preserve">
</t>
    </r>
    <r>
      <rPr>
        <b/>
        <sz val="12"/>
        <rFont val="Calibri"/>
        <family val="2"/>
      </rPr>
      <t xml:space="preserve"> </t>
    </r>
    <r>
      <rPr>
        <sz val="12"/>
        <rFont val="Calibri"/>
        <family val="2"/>
      </rPr>
      <t xml:space="preserve">Il DL 50/2022 ha istituito il </t>
    </r>
    <r>
      <rPr>
        <b/>
        <sz val="12"/>
        <rFont val="Calibri"/>
        <family val="2"/>
      </rPr>
      <t>"Fondo per le opere indifferibili"</t>
    </r>
    <r>
      <rPr>
        <sz val="12"/>
        <rFont val="Calibri"/>
        <family val="2"/>
      </rPr>
      <t xml:space="preserve">, per coprire i maggiori costi derivanti dall'aggiornamento dei prezzari regionali nelle procedure di gara bandite tra il 18/05/2022 ed il 31/12/2022, prevedendo una preassegnazione ex lege (che il DL 144/2022 individua nel 15% del finanziamento assegnato) unicamente per gli enti locali; gli enti locali con fabbisogno superiore al 15% e gli ex IACP, per tutti i propri interventi, presentano domanda di accesso al Fondo tramite piattaforma REGIS, entro il 10/10. Proposto emendamento in sede di conversione del DL 144/2022 per equiparare modalità di accesso al Fondo tra enti locali ed ex IACP. </t>
    </r>
  </si>
  <si>
    <r>
      <t>L'emendamento 1.017</t>
    </r>
    <r>
      <rPr>
        <sz val="12"/>
        <rFont val="Calibri Light"/>
        <family val="2"/>
      </rPr>
      <t xml:space="preserve"> non è stato approvato. Per il 16/11/2022 è programmato incontro di aggiornamento con i soggetti attuatori in attesa di rilascio di parere delle soprintendenze.
</t>
    </r>
    <r>
      <rPr>
        <b/>
        <sz val="12"/>
        <rFont val="Calibri Light"/>
        <family val="2"/>
      </rPr>
      <t xml:space="preserve">Fondo opere indifferibili: </t>
    </r>
    <r>
      <rPr>
        <sz val="12"/>
        <rFont val="Calibri Light"/>
        <family val="2"/>
      </rPr>
      <t>Trasmesse alle ALER e ai Comuni beneficiari le modalità di accesso al fondo</t>
    </r>
    <r>
      <rPr>
        <b/>
        <sz val="12"/>
        <rFont val="Calibri Light"/>
        <family val="2"/>
      </rPr>
      <t xml:space="preserve"> </t>
    </r>
    <r>
      <rPr>
        <sz val="12"/>
        <rFont val="Calibri Light"/>
        <family val="2"/>
      </rPr>
      <t xml:space="preserve">(circolare n. 31/2022 del MEF). 
</t>
    </r>
    <r>
      <rPr>
        <sz val="12"/>
        <color rgb="FFFF0000"/>
        <rFont val="Calibri Light"/>
        <family val="2"/>
      </rPr>
      <t xml:space="preserve">Con circolare n. 37 il MEF ha disciplinato le procedure successive alla preassegnazione del 15% per extracosti. Il Comitato tecnico interregionale ha ritenuto che, nel caso in cui si rimanga nei limiti dell’importo originariamente assegnato incrementato del 15%, non sia necessario alcun intervento da parte degli Enti locali; tale interpretazione è stata comunicata al MIMS con nota del coordinatore interregionale del 14/11/2022.
</t>
    </r>
    <r>
      <rPr>
        <sz val="12"/>
        <rFont val="Calibri Light"/>
        <family val="2"/>
      </rPr>
      <t xml:space="preserve">
</t>
    </r>
    <r>
      <rPr>
        <b/>
        <sz val="12"/>
        <rFont val="Calibri Light"/>
        <family val="2"/>
      </rPr>
      <t xml:space="preserve">
</t>
    </r>
  </si>
  <si>
    <t>Target L’obiettivo è quello di triplicare i posti per gli studenti fuorisede, portandoli da 40mila a oltre 100 mila entro il 2026.</t>
  </si>
  <si>
    <t>Milestones future assenti
Target L’obiettivo è quello di triplicare i posti per gli studenti fuorisede, portandoli da 40mila a oltre 100 mila entro il 2026.</t>
  </si>
  <si>
    <r>
      <rPr>
        <b/>
        <sz val="12"/>
        <rFont val="Calibri Light"/>
        <family val="2"/>
      </rPr>
      <t xml:space="preserve">1) Invio elenco di macro-interventi individuati secondo predeterminati criteri (evento-territorio)
2) Pubblicazione atto di individuazione macro-interventi
3) Consegna schede DNSH per gli interventi conclusi
</t>
    </r>
    <r>
      <rPr>
        <b/>
        <sz val="12"/>
        <color rgb="FFFFFF00"/>
        <rFont val="Calibri Light"/>
        <family val="2"/>
      </rPr>
      <t xml:space="preserve">
</t>
    </r>
  </si>
  <si>
    <r>
      <rPr>
        <b/>
        <sz val="12"/>
        <color rgb="FF000000"/>
        <rFont val="Calibri Light"/>
        <family val="2"/>
      </rPr>
      <t xml:space="preserve">1) entro 30/11/21 </t>
    </r>
    <r>
      <rPr>
        <b/>
        <sz val="12"/>
        <color rgb="FFFF0000"/>
        <rFont val="Calibri Light"/>
        <family val="2"/>
      </rPr>
      <t xml:space="preserve">COMPLETATO
</t>
    </r>
    <r>
      <rPr>
        <b/>
        <sz val="12"/>
        <color rgb="FF000000"/>
        <rFont val="Calibri Light"/>
        <family val="2"/>
      </rPr>
      <t xml:space="preserve">
2) entro 15/12/2021 </t>
    </r>
    <r>
      <rPr>
        <b/>
        <sz val="12"/>
        <color rgb="FFFF0000"/>
        <rFont val="Calibri Light"/>
        <family val="2"/>
      </rPr>
      <t xml:space="preserve">COMPLETATO
</t>
    </r>
    <r>
      <rPr>
        <b/>
        <sz val="12"/>
        <color rgb="FF000000"/>
        <rFont val="Calibri Light"/>
        <family val="2"/>
      </rPr>
      <t xml:space="preserve">3) quanto prima - IN CORSO
</t>
    </r>
  </si>
  <si>
    <t>Comuni/Comunità Montane/Aria/ERSAF/AIPO/CONSORZIO DI BONIFICA EST TICINO VILLORESI</t>
  </si>
  <si>
    <r>
      <t xml:space="preserve">1) Invio elenco di macro-interventi individuati secondo predeterminati criteri (evento-territorio)
2) Pubblicazione atto di individuazione macro-interventi
</t>
    </r>
    <r>
      <rPr>
        <b/>
        <sz val="12"/>
        <color rgb="FFFFFF00"/>
        <rFont val="Calibri Light"/>
        <family val="2"/>
      </rPr>
      <t xml:space="preserve">3) Consegna schede DNSH per gli interventi conclusi
</t>
    </r>
  </si>
  <si>
    <r>
      <t xml:space="preserve">1) entro 30/11/21 </t>
    </r>
    <r>
      <rPr>
        <b/>
        <sz val="12"/>
        <color rgb="FFFF0000"/>
        <rFont val="Calibri Light"/>
        <family val="2"/>
      </rPr>
      <t>COMPLETATO</t>
    </r>
    <r>
      <rPr>
        <b/>
        <sz val="12"/>
        <color theme="1"/>
        <rFont val="Calibri Light"/>
        <family val="2"/>
      </rPr>
      <t xml:space="preserve">
2) entro 15/12/2021 </t>
    </r>
    <r>
      <rPr>
        <b/>
        <sz val="12"/>
        <color rgb="FFFF0000"/>
        <rFont val="Calibri Light"/>
        <family val="2"/>
      </rPr>
      <t xml:space="preserve">COMPLETATO
</t>
    </r>
    <r>
      <rPr>
        <b/>
        <sz val="12"/>
        <color rgb="FFFFFF00"/>
        <rFont val="Calibri Light"/>
        <family val="2"/>
      </rPr>
      <t>3) quanto prima - IN CORSO</t>
    </r>
    <r>
      <rPr>
        <b/>
        <sz val="12"/>
        <color theme="1"/>
        <rFont val="Calibri Light"/>
        <family val="2"/>
      </rPr>
      <t xml:space="preserve">
</t>
    </r>
  </si>
  <si>
    <t>Come riga precedente</t>
  </si>
  <si>
    <t>IMPORTO APPROVATO I 63,929,420,68 [62.979.420,68 € +950.000,00 €]  (https://pnrr.protezionecivile.gov.it/it/atti-di-approvazione-dei-progetti-essere)</t>
  </si>
  <si>
    <t>rendicontazione e fondi già spesi o in corso di realizzazione (piani approvati tra 1-2-2020 e 31-12-2021). NB= i contributi sono erogati ai soggetti attuatori dalla contabilità speciale dello Stato 6102 fino al 31-12-2023, per gli interventi non completati dal 1-1-2024 transiteranno dal bilancio regionale.</t>
  </si>
  <si>
    <t>rendicontazione e fondi già spesi o in corso di realizzazione (piani approvati tra 1-2-2020 e 31-12-2021).. NB= i contributi sono erogati a Regione Lombardia dalla contabilità speciale dello Stato 6102 fino al 31-12-2023, per gli interventi non completati dal 1-1-2024 transiteranno dal bilancio regionale.</t>
  </si>
  <si>
    <r>
      <t xml:space="preserve">1) Invio elenco di macro-interventi prioritari (evento-territorio) con CUP master
2) Approvazione elenco di macro-interventi e pubblicazione atto (ammontare risorse)
3) Approvazione DPCM e elenco interventi con indicazione dei soggetti beneficiari
</t>
    </r>
    <r>
      <rPr>
        <b/>
        <sz val="12"/>
        <color rgb="FFFF0000"/>
        <rFont val="Calibri Light"/>
        <family val="2"/>
      </rPr>
      <t xml:space="preserve">3bis) Decreto DPC con l'approvazione dei 122 interventi indicati da RL su cui destinare i 74M€ </t>
    </r>
    <r>
      <rPr>
        <b/>
        <sz val="12"/>
        <color theme="1"/>
        <rFont val="Calibri Light"/>
        <family val="2"/>
      </rPr>
      <t xml:space="preserve">
</t>
    </r>
    <r>
      <rPr>
        <b/>
        <sz val="12"/>
        <color rgb="FFFF0000"/>
        <rFont val="Calibri Light"/>
        <family val="2"/>
      </rPr>
      <t>3ter) Accordo DPC - RL di attuazione del DPCM</t>
    </r>
    <r>
      <rPr>
        <b/>
        <sz val="12"/>
        <color theme="1"/>
        <rFont val="Calibri Light"/>
        <family val="2"/>
      </rPr>
      <t xml:space="preserve">
</t>
    </r>
    <r>
      <rPr>
        <b/>
        <sz val="12"/>
        <color rgb="FFFF0000"/>
        <rFont val="Calibri Light"/>
        <family val="2"/>
      </rPr>
      <t>3 quater) Accordo DPC - Enti Attuatori (DGR)</t>
    </r>
    <r>
      <rPr>
        <b/>
        <sz val="12"/>
        <color theme="1"/>
        <rFont val="Calibri Light"/>
        <family val="2"/>
      </rPr>
      <t xml:space="preserve">
4) pubblicazione bandi di gara ovvero avvio della procedura di affidamento
5) stipula contratto di appalto
6) inizio effettivo dei lavori con verbale consegna lavori
7) eventuali modifiche elenchi opere
8) conclusione intervento</t>
    </r>
  </si>
  <si>
    <r>
      <t xml:space="preserve">1) entro 30/11/21 COMPLETATO
2) approvato 15/12/2021 COMPLETATO
3) Il DPCM è stato firmato in data 23 agosto 2022. E’ in corso la registrazione presso la Corte dei Conti a cui seguirà la pubblicazione. Da quella data avrà efficacia.
</t>
    </r>
    <r>
      <rPr>
        <b/>
        <sz val="12"/>
        <color rgb="FFFF0000"/>
        <rFont val="Calibri Light"/>
        <family val="2"/>
      </rPr>
      <t>3bis): COMPLETATO il 21 ottobre 2022
3ter): in corso di definizione</t>
    </r>
    <r>
      <rPr>
        <b/>
        <sz val="12"/>
        <color theme="1"/>
        <rFont val="Calibri Light"/>
        <family val="2"/>
      </rPr>
      <t xml:space="preserve">
</t>
    </r>
    <r>
      <rPr>
        <b/>
        <sz val="12"/>
        <color rgb="FFFF0000"/>
        <rFont val="Calibri Light"/>
        <family val="2"/>
      </rPr>
      <t>3 quater): da fare</t>
    </r>
    <r>
      <rPr>
        <b/>
        <sz val="12"/>
        <color theme="1"/>
        <rFont val="Calibri Light"/>
        <family val="2"/>
      </rPr>
      <t xml:space="preserve">
4) entro il 31 maggio 2023
5) entro il 30 settembre 2023
6)  entro il 15 ottobre 2023
7) entro il 31 dicembre 2023
8) entro 31 decembre 2025</t>
    </r>
  </si>
  <si>
    <r>
      <t>342,7  milioni di lavori avviati/ contrattualizzati  dalle ALER
48,8 milioni di lavori in contrattualizzazione
Inoltre Aler Mi e ALER BS CR MN  sono in fase di progettazione lavori in PPP per circa 1,8 miliardi (dato dipende dall'evoluzione normativa)
Sulla base dei lavori avviati aggiudicati e in gara vengono assegnati i seguenti importi per la copertura di costi non ammissibili:
- ALER Milano totali costi previsti non ammissibili   2022-2023  euro 5.439.622,34; 
- Aler Bs-Cr-Mn  totali costi previsti non ammissibili 2022-2023  euro 799.385,89;
- Aler Pv-Lo totali costi previsti non ammissibili 2022-2023 euro 314.849,11;
- Aler Va-Co-Mb-Bg totali costi previsti non ammissibili euro 1.384.652,65.
Gli interventi riguardanoo ad oggi 7054 alloggi (per lavori avviati, in fase di contrattualizzazione). 
Approvata la DGR 6492 del 13 giugno 2022 per il sostegno regionale (8 Meuro) alla copertura dei costi non ammissibili per interventi Superbonus 110% delle ALER.
Approvato il Decreto  alle ALER per il sostegno dei costi non ammissibili. (Decreto n. 11917 del 10 agosto 2022) 
 Nelle riunioni del 21 luglio e 27 settembre  illustrate  le modalità di funzionamento dell’applicativo informatico per gli interventi del Superbonus 110%.</t>
    </r>
    <r>
      <rPr>
        <b/>
        <sz val="12"/>
        <color rgb="FFFF0000"/>
        <rFont val="Calibri"/>
        <family val="2"/>
      </rPr>
      <t xml:space="preserve">
In fase di approvazione nel mese di novembre i provvedimenti di impegno e liquidazione della rata di acconto prari al 30% per gli interventi i cui lavori asono stati avviati dalle ALER e dai condomini in cui ALER è parte.</t>
    </r>
  </si>
  <si>
    <t>In RL sono stati finanziati 17 progetti, di cui:
- 2 candidati da RL (progetto pilota Milano Gratosoglio, approvato con DDG MIMS 29/12/2021 n. 17524 e finanziato con euro 52.326.675,00; progetto ordinario Varese/Pavia approvato con  DDG MIMS 20/01/2022 n. 804 e finanziato con euro 14.505.000,80);
- 4 che coinvolgono patrimonio ALER
Ulteriori 5 progetti sono ammessi con riserva, di cui uno candidato da RL con Aler Milano
Sono state sottoscritte entro marzo 2022 16 su 17 convenzioni tra MIMS e Soggetto beneficiario; l'ultima convenzione, relativa al progetto pilota del Comune di Brescia è stata sottoscritta  il 3/11/2022 
Regione Lombardia ha sottoscritto le Convenzioni relative ai progetti Milano Gratosoglio e Varese/Pavia, rispettivamente approvate dai decreti direttoriali MIMS 31/03/2022 n. 4988 e 30/03/2022 n. 4843. 
Le ALER che attueranno gli interventi previsti nelle proposte finanziate a RL hanno firmato gli atti d'obbligo in data 20/04/2022 (Milano Gratosoglio) e 15/04/2022 (Varese/Pavia); con DGR 03/10/2022 n. XI/7063 è stato modificato l'Atto d'obbligo per disciplinare le modalità di trasferimento dell'anticipo e delle rate di finanziamento da RL alle ALER e successivamente sottoscritto
Entro 365 giorni dall'erogazione dell'acconto del 10% disposto dai decreti MIMS di ammissione a finanziamento dei progetti, i soggetti beneficiari dovranno trasmettere la documentazione  progettuale prevista (Determina a contrarre, Relazione del responsabile del procedimento, Quadro economico complessivo della proposta)
1) L'acconto del 10%, disposta con i decreti MIMS  29/12/2021 n. 17524 (progetti pilota) e DDG 20/01/2022 n. 804 (progetti ordinari)  è stata erogata dal MIMS sia per il progetto pilota di Gratosoglio che per gli interventi ALER Varese/Pavia
2) Il DL 50/2022 ha istituito il "Fondo per le opere indifferibili", per coprire i maggiori costi derivanti dall'aggiornamento dei prezzari regionali nelle procedure di gara bandite tra il 18/05/2022 ed il 31/12/2022, prevedendo una preassegnazione ex lege (che il DPCM 28/07/2022  individua nel 20% del finanziamento assegnato) unicamente per gli enti locali; gli enti locali con fabbisogno superiore al 20% e le Regioni beneficiarie di finanziamento presentano domanda di accesso al Fondo tramite piattaforma REGIS entro il 10/10. Proposto emendamento in sede di conversione del DL 144/2022 per equiparare modalità di accesso al Fondo tra enti locali e Regioni</t>
  </si>
  <si>
    <t>1) La DG Casa ha disposto il trasferimento delle risorse (euro 5.232.667,50) ad ALER Milano con nota di liquidazione n. 7388 del 27/10/2022; il trasferimento ad ALER Varese/Pavia avverrà a seguito del provvedimento con cui si sdispone la riduzione dell'accertamento e la contestuale riassunzione pluriennale con indicazione CUP
2) Presentata entro la scadenza del 10/10 domanda di accesso al Fondo tramite piattaforma REGIS per le proposte finanziate a Regione Lombardia:
- ID 510, richiesti extracosti pari a euro 4.908.791,24
- ID 410 Varese, richiesti extracosti pari a euro 513.336,00</t>
  </si>
  <si>
    <r>
      <t xml:space="preserve">Aggiornato elenco strutture con dgr 6080 del 7 marzo 2022
Approvatocon DGR 6426 del 23 maggio il PIANO OPERATIVO REGIONALE (POR) E CONTESTUALE INDIVIDUAZIONE DEGLI INTERVENTI, CON RIPARTIZIONE DELLE CORRISPONDENTI QUOTE DI FINANZIAMENTO PNRR/PNC - INDIVIDUAZIONE DEI SOGGETTI ATTUATORI ESTERNI
Sottoscrizione Contratto Istituzionale di Sviluppo (CIS) da Presidente di RL e trasmesso al Ministero della Salute.
Approvata DGR 6609 </t>
    </r>
    <r>
      <rPr>
        <b/>
        <sz val="12"/>
        <color theme="1"/>
        <rFont val="Calibri Light"/>
        <family val="2"/>
      </rPr>
      <t>del 30 giugno</t>
    </r>
    <r>
      <rPr>
        <sz val="12"/>
        <color theme="1"/>
        <rFont val="Calibri Light"/>
        <family val="2"/>
      </rPr>
      <t xml:space="preserve"> 2022 AMMODERNAMENTO DEL PARCO TECNOLOGICO E DIGITALE OSPEDALIERO (DIGITALIZZAZIONE DEA I E II) - REALIZZAZIONE DELLA CARTELLA CLINICA ELETTRONICA REGIONALE
Approvato Decreto di impegno 11264 del 28 luglio 2022 per "ASSEGNAZIONE E IMPEGNO DI €. 210.859.037,84 DI CUI ALLA D.G.R. N. XI/6426/2022 “PIANO NAZIONALE DI RIPRESA E RESILIENZA PNRR - MISSIONE 6 COMPONENT 1 E COMPONENT 2 E PNC – APPROVAZIONE DEL PIANO OPERATIVO REGIONALE (POR) E CONTESTUALE INDIVIDUAZIONE DEGLI INTERVENTI, CON RIPARTIZIONE DELLE CORRISPONDENTI QUOTE DI FINANZIAMENTO PNRR/PNC - INDIVIDUAZIONE DEI SOGGETTI ATTUATORI ESTERNI”- PRIMO PROVVEDIMENTO."
</t>
    </r>
  </si>
  <si>
    <t>Ferrovienord S.p.A.</t>
  </si>
  <si>
    <t>in attesa del Decreto ministeriale per partecipazione al bando</t>
  </si>
  <si>
    <r>
      <t xml:space="preserve">Sono stati firmati con AIPO i seguenti Accordi di progettazione e realizzazione:
-il 13 aprile 2022 per il lotto L3 a valere su risorse PNRR (DM 4/2022) e su risorse regionali del Piano Lombardia;
- il 13 aprile 2022 per il completamento del lotto L5 a valere su risorse PNRR (DM 4/2022);
Sono previste per tutti i Lotti le scadenze del DM 4/2022: fine lavori entro il 2026.
Attualmente </t>
    </r>
    <r>
      <rPr>
        <b/>
        <sz val="14"/>
        <color rgb="FFFF0000"/>
        <rFont val="Calibri Light"/>
        <family val="2"/>
      </rPr>
      <t xml:space="preserve">sono stati avviati </t>
    </r>
    <r>
      <rPr>
        <sz val="14"/>
        <rFont val="Calibri Light"/>
        <family val="2"/>
      </rPr>
      <t xml:space="preserve">i lavori per il Lotto prioritario (Stagno Lombardo- San Rocco al Porto) e </t>
    </r>
    <r>
      <rPr>
        <b/>
        <sz val="14"/>
        <color rgb="FFFF0000"/>
        <rFont val="Calibri Light"/>
        <family val="2"/>
      </rPr>
      <t>avviata progettazione</t>
    </r>
    <r>
      <rPr>
        <sz val="14"/>
        <rFont val="Calibri Light"/>
        <family val="2"/>
      </rPr>
      <t xml:space="preserve"> definitiva/esecutiva i Lotti L3 e completamento L5</t>
    </r>
  </si>
  <si>
    <r>
      <t xml:space="preserve">Sono stati firmati con ARIA i seguenti Accordi di progettazione e realizzazione:
- il 12 aprile 2022 per il </t>
    </r>
    <r>
      <rPr>
        <b/>
        <sz val="14"/>
        <rFont val="Calibri Light"/>
        <family val="2"/>
      </rPr>
      <t>secondo lotto</t>
    </r>
    <r>
      <rPr>
        <sz val="14"/>
        <rFont val="Calibri Light"/>
        <family val="2"/>
      </rPr>
      <t xml:space="preserve"> (Toscolano Maderno- Padenghe sul Garda) a valere su risorse PNRR (DM 4/2022). 
Sono previste le scadenze del DM 4/2022; fine lavori entro il 2026. 
In fase di avvio la Conferenza di Servizi per l'approvazione del progetto definitivo</t>
    </r>
  </si>
  <si>
    <r>
      <t xml:space="preserve">Aggiornato elenco strutture con dgr 6080 del 7 marzo 2022
Approvatocon DGR 6426 del 23 maggio il PIANO OPERATIVO REGIONALE (POR) E CONTESTUALE INDIVIDUAZIONE DEGLI INTERVENTI, CON RIPARTIZIONE DELLE CORRISPONDENTI QUOTE DI FINANZIAMENTO PNRR/PNC - INDIVIDUAZIONE DEI SOGGETTI ATTUATORI ESTERNI
Sottoscritto il CIS (Contratto Istituzionale di Sviluppo) in data 31.05.2022
Approvata la DGR 6707 del 30 giugno 2022 con cui alcuni interventi su edifici ubicati nel comune di Milano  sono stati riassegnati alle ASST milanesi ivi individuate, quali Soggetti Attuatori Esterni in luogo dei precedenti individuati con la DGR 6426/2022
Con Decreto n.11389 del 1 agosto  2022 sono state impegnate ed assegnate le risorse del PNRR alle ASST Soggetti Attuatori Esterni
</t>
    </r>
    <r>
      <rPr>
        <sz val="12"/>
        <color rgb="FFFF0000"/>
        <rFont val="Calibri Light"/>
        <family val="2"/>
      </rPr>
      <t xml:space="preserve">E' in fase avanzata di istruttoria il provvedimento che dispone l'assegnazione delle risorse regionali per il cofinanziamento degli interventi PNRR Missione 6 Component 1 Case di Comunità, Ospedali di Comunità e Centrali Operative Territoriali tenendo conto anche delle richieste di rimodulazione di alcuni interventi </t>
    </r>
  </si>
  <si>
    <r>
      <t xml:space="preserve">Aggiornato elenco strutture con dgr 6080 del 7 marzo 2022
Approvatocon DGR 6426 del 23 maggio il PIANO OPERATIVO REGIONALE (POR) E CONTESTUALE INDIVIDUAZIONE DEGLI INTERVENTI, CON RIPARTIZIONE DELLE CORRISPONDENTI QUOTE DI FINANZIAMENTO PNRR/PNC - INDIVIDUAZIONE DEI SOGGETTI ATTUATORI ESTERNI
Sottoscritto il CIS (Contratto Istituzionale di Sviluppo) in data 31.05.2022
Approvata la DGR 6707 del 30 giugno 2022 con cui alcuni interventi su edifici ubicati nel comune di Milano  sono stati riassegnati alle ASST milanesi ivi individuate, quali Soggetti Attuatori Esterni in luogo dei precedenti individuati con la DGR 6426/2022
Con Decreto n.11697 del 4 agosto 2022 sono state impegnate ed assegnate le risorse del PNRR alle ASST Soggetti Attuatori Esterni
</t>
    </r>
    <r>
      <rPr>
        <sz val="12"/>
        <color rgb="FFFF0000"/>
        <rFont val="Calibri Light"/>
        <family val="2"/>
      </rPr>
      <t xml:space="preserve">E' in fase avanzata di istruttoria il provvedimento che dispone l'assegnazione delle risorse regionali per il cofinanziamento degli interventi PNRR Missione 6 Component 1 Case di Comunità, Ospedali di Comunità e Centrali Operative Territoriali tenendo conto anche delle richieste di rimodulazione di alcuni interventi </t>
    </r>
  </si>
  <si>
    <r>
      <t xml:space="preserve">Aggiornato elenco strutture con dgr 6080 del 7 marzo 2022
Approvatocon DGR 6426 del 23 maggio il PIANO OPERATIVO REGIONALE (POR) E CONTESTUALE INDIVIDUAZIONE DEGLI INTERVENTI, CON RIPARTIZIONE DELLE CORRISPONDENTI QUOTE DI FINANZIAMENTO PNRR/PNC - INDIVIDUAZIONE DEI SOGGETTI ATTUATORI ESTERNI
Sottoscritto il CIS (Contratto Istituzionale di Sviluppo) in data 31.05.2022
Approvata la DGR 6707 del 30 giugno 2022 con cui alcuni interventi su edifici ubicati nel comune di Milano  sono stati riassegnati alle ASST milanesi ivi individuate, quali Soggetti Attuatori Esterni in luogo dei precedenti individuati con la DGR 6426/2022
Con Decreto n.11696 del 4 agosto 2022 sono state impegnate ed assegnate le risorse del PNRR alle ASST Soggetti Attuatori Esterni
</t>
    </r>
    <r>
      <rPr>
        <sz val="12"/>
        <color rgb="FFFF0000"/>
        <rFont val="Calibri Light"/>
        <family val="2"/>
      </rPr>
      <t xml:space="preserve">E' in fase avanzata di istruttoria il provvedimento che dispone l'assegnazione delle risorse regionali per il cofinanziamento degli interventi PNRR Missione 6 Component 1 Case di Comunità, Ospedali di Comunità e Centrali Operative Territoriali tenendo conto anche delle richieste di rimodulazione di alcuni interventi </t>
    </r>
  </si>
  <si>
    <t>Importo complessivo progetti presentati da Consorzi di Bonifica ed Enti Irrigui su piattaforma DANIA. (Richiesta contributo): 207.280.811,99
Finanziati 2 progetti: 
Consorzio di Bonifica della Media Pianura Bergamasca e Consorzio della Bonifica Burana</t>
  </si>
  <si>
    <t>Decreto MIPAAF n. 484456 del 30 settembre 2022</t>
  </si>
  <si>
    <t>Emanato da parte del MIPAAF il decreto di concessione contributi entro il 30/09/2022.</t>
  </si>
  <si>
    <t>Importo precedente 62.250.990,35 € (240.783.909,81 € stanziati da Allegato 2 del Decreto 343 del 2 dicembre 2021). L'importo attuale è somma degli importi dell'allegato 1 delle graduatorie per soli progetti ammessi, 135 interventi</t>
  </si>
  <si>
    <t>Importo precedente 19.630.466,60 €.
L'attuale importo è somma degli importi degli allegati 2 (47.474.714,13 € per 16 interventi) e all.3 (52.107.214,25 € per 23 interventi) delle graduatorie per soli progetti ammessi</t>
  </si>
  <si>
    <t>Max importo finanziabile per progetto presentato 1 mln a rimborso per iniziative agià intraprese</t>
  </si>
  <si>
    <r>
      <t>Regione Lombardia, in qualità di soggetto attuatore, ha trasmesso, entro il 24 giugno l'elenco dei primi 123 progetti ammessi a finanziamento:</t>
    </r>
    <r>
      <rPr>
        <sz val="12"/>
        <color rgb="FFFF0000"/>
        <rFont val="Calibri Light"/>
        <family val="2"/>
      </rPr>
      <t xml:space="preserve"> </t>
    </r>
    <r>
      <rPr>
        <sz val="12"/>
        <rFont val="Calibri Light"/>
        <family val="2"/>
      </rPr>
      <t>di questi n. 120 soggetti hanno trasmesso il modulo di accettazione del contributo. Seguirà decreto di impegno delle risorse. E</t>
    </r>
    <r>
      <rPr>
        <b/>
        <sz val="12"/>
        <rFont val="Calibri Light"/>
        <family val="2"/>
      </rPr>
      <t>ntro il 30 novembre 2022 (nuova data comunicata dal Ministero della Cultura) verrà trasmesso l'elenco definitivo dei progetti ammessi a finanziamento a valere sulla seconda finestra del bando.</t>
    </r>
  </si>
  <si>
    <t>Il decreto di riparto delle risorse del 21/10/2022 è stato messo a disposizione delle Regioni il 16/11/2022 nell'ambito della CAES, insieme con la bozza di decreto del bando tipo ancora in discussione. Pertanto la prima milestone di riferimento rimane, al momento, quella di marzo 2023 indicata dal PNRR. Il ritardo nell'emanazione del decreto (ancora in bozza) da parte del Ministero, rappresenta sicuramente una criticità per l'attuazione e la garanzia dei tempi da parte delle Regioni. A Regione Lombardia sono destinati 33,5 milioni di euro.</t>
  </si>
  <si>
    <t>1.2 Abilitazione e facilitazione migrazione al cloud per le PA locali - Comuni</t>
  </si>
  <si>
    <t>Somma degli importi su 1.006 Comuni</t>
  </si>
  <si>
    <t>https://padigitale2026.gov.it/opendata</t>
  </si>
  <si>
    <t>1.4.3 Adozione PagoPA -Regione Lombardia</t>
  </si>
  <si>
    <t>1.4.3 Adozione App IO - Regione Lombardia</t>
  </si>
  <si>
    <t>1.4.4 Adozione SPID &amp; CIE - Regione Lombardia</t>
  </si>
  <si>
    <t>1.4.4 Adozione SPID &amp; CIE - Comuni</t>
  </si>
  <si>
    <t>Somma degli importi per 775 comuni lombardi</t>
  </si>
  <si>
    <t>Di cui: 
Allegato 1- Risorse aggiuntive PNRR: 76.770.000€
Allegato 2 - Da programmare: 20.300.000€ 
 Allegato 3 - Già programmate a legislazione vigente Piano Straordinario
DM n. 526 del 6
dicembre 2018: 20.000.000€.
49 milioni per interventi ai consorzi</t>
  </si>
  <si>
    <t>Somma degli importi destinati ai Comuni in Lombardia indicati nei 5 decreti pubblicati sul sito sport.governo.it</t>
  </si>
  <si>
    <t>Importo ottenuto dalla somma dei progetti in stato "Ammesso", considerando nuovi progetti e ristrutturazioni</t>
  </si>
  <si>
    <t>Mobilità a idrogeno nella Valcamonica - Decreto Ministeriale n.346 del 15/11/2022</t>
  </si>
  <si>
    <t>Importo stanziato per la Lombardia pari a 49.253.212,76 euro presentate 407domande, di cui 229 ammesse per un importo di oltre 27 milioni</t>
  </si>
  <si>
    <t>Il costo totale degli interventi ammessi è di 324.265.436,80 €, di cui 251.497.732,18  ammessi dal PNRR. Solo la cifra riportata 83633692 è ammessa e finanziata nella prima finestra temporale</t>
  </si>
  <si>
    <t>Sistemi informativi/Sanità</t>
  </si>
  <si>
    <t xml:space="preserve">Fondo Complementare - PIANO DI INVESTIMENTI STRATEGICI SUI SITI DEL PATRIMONIO CULTURALE, 
EDIFICI E AREE NATURALI </t>
  </si>
  <si>
    <t>Spesa complessiva di € 130.236.100,00</t>
  </si>
  <si>
    <t>REGIONE LOMBARDIA SOGGETTO ATTUATORE</t>
  </si>
  <si>
    <t>2.1 - Valorizzazione e potenziamento della ricerca biomedica del SSN</t>
  </si>
  <si>
    <t>Sanità</t>
  </si>
  <si>
    <t>Aggiornato elenco strutture con dgr 6080 del 7 marzo 2022
Approvato con DGR 6426 del 23 maggio il PIANO OPERATIVO REGIONALE (POR) E CONTESTUALE INDIVIDUAZIONE DEGLI INTERVENTI, CON RIPARTIZIONE DELLE CORRISPONDENTI QUOTE DI FINANZIAMENTO PNRR/PNC - INDIVIDUAZIONE DEI SOGGETTI ATTUATORI ESTERNI</t>
  </si>
  <si>
    <t>Università</t>
  </si>
  <si>
    <r>
      <t xml:space="preserve">DM 1257/2021   (l.338/2000)
</t>
    </r>
    <r>
      <rPr>
        <b/>
        <sz val="12"/>
        <color theme="1"/>
        <rFont val="Calibri Light"/>
        <family val="2"/>
      </rPr>
      <t>V Bando MUR</t>
    </r>
    <r>
      <rPr>
        <sz val="12"/>
        <color theme="1"/>
        <rFont val="Calibri Light"/>
        <family val="2"/>
      </rPr>
      <t xml:space="preserve">
(abitare)
l V bando MUR riporta importo inferiore (460meuro circa)
Graduatoria: Decreto Ministeriale n. 1246 del 28-11-2022,</t>
    </r>
  </si>
  <si>
    <t>1.1.1 - Potenziamento dei servizi e delle infrastrutture sociali della comunità</t>
  </si>
  <si>
    <t>1.2 Strutture sanitarie di prossimità territoriale</t>
  </si>
  <si>
    <t>Enti di ricerca</t>
  </si>
  <si>
    <t>Importo progetti segnalati da DG Welfare</t>
  </si>
  <si>
    <t>Importo da graduatoria, differenza tra il totale destinato a enti lombardi e quelli gestiti direttamente da Regione Lombardia come soggetto attuatore</t>
  </si>
  <si>
    <t>Ministero dell'ambiente</t>
  </si>
  <si>
    <t>Soggetti Privati</t>
  </si>
  <si>
    <t>Soggetti privati</t>
  </si>
  <si>
    <t>la milestone M2C3-9  prevede, entro il T4 2022, l’aggiudicazione di tutti gli appalti 
pubblici per la costruzione di nuove reti di teleriscaldamento o l’ampliamento di quelle 
esistenti, che dovrebbero includere l’obbligo di ridurre il consumo energetico; 
il target M2C3-10  prevede, entro il T1 2026, il completamento della costruzione 
delle nuove reti per il teleriscaldamento, o dell’ampliamento di quelle esistenti, per ridurre il 
consumo energetico di almeno 20 ktpe all’anno. L’investimento deve essere conforme alle 
condizioni di cui all’Allegato VI, nota 9, del regolamento 241/2021/UE sul dispositivo per 
la ripresa e la resilienza;</t>
  </si>
  <si>
    <t>Decreto di riparto risorse 435 del 23 dicembre 2022</t>
  </si>
  <si>
    <t>Economia circolare</t>
  </si>
  <si>
    <t>1.3.1  Piattaforma Digitale Nazionale Dati (PDND):</t>
  </si>
  <si>
    <t>https://areariservata.padigitale2026.gov.it/Pa_digitale2026_dettagli_avviso?id=a017Q00001DpRjQQAV</t>
  </si>
  <si>
    <t>2.1 Smart Grid</t>
  </si>
  <si>
    <t>1.4.3 Adozione AppIO PagoPA - Comuni</t>
  </si>
  <si>
    <t>Somma degli importi destinati a oltre 800 Comuni lombardi</t>
  </si>
  <si>
    <t>Efficienza energetica</t>
  </si>
  <si>
    <t>Interventi per la resilienza e la valorizzazione del territorio</t>
  </si>
  <si>
    <t xml:space="preserve">Interventi per la resilienza e la valorizzazione del territorio </t>
  </si>
  <si>
    <t xml:space="preserve">L'importo è somma delle linee B (33 mil €) e C (18 mil €). Graduatorie linea A non ancora pubblicate. </t>
  </si>
  <si>
    <t>2.2 Resilienza climatica delle reti elettriche</t>
  </si>
  <si>
    <t>Somma degli importi dei progetti finanziati in Lombardia</t>
  </si>
  <si>
    <t>3.1  SVILUPPO DI SISTEMI DI TELERISCALDAMENTO</t>
  </si>
  <si>
    <t>1.2 Efficientamento degli edifici giudiziari  cittadelle giudiziarie</t>
  </si>
  <si>
    <t>1429 posti letto totali su più sedi in Lombardia</t>
  </si>
  <si>
    <r>
      <rPr>
        <sz val="18"/>
        <color rgb="FFFF0000"/>
        <rFont val="Rockwell"/>
        <family val="1"/>
        <scheme val="minor"/>
      </rPr>
      <t>MONITORAGGIO INTERVENTI PNRR SUL TERRITORIO LOMBARDO</t>
    </r>
    <r>
      <rPr>
        <sz val="18"/>
        <color theme="1"/>
        <rFont val="Rockwell"/>
        <family val="1"/>
        <scheme val="minor"/>
      </rPr>
      <t xml:space="preserve">
REGIONE LOMBARDIA 
AREA PROGRAMMAZIONE E RELAZIONI ESTERNE
UO - ATTUAZIONE DEL PROGRAMMA DEL PRESIDENTE E PROMOZIONE SOCIO-ECONOMICA CORRELATA ALLE OLIMPIADI 2026
STRUTTURA - PROGRAMMAZIONE STRATEGICA
</t>
    </r>
    <r>
      <rPr>
        <i/>
        <sz val="18"/>
        <color theme="1"/>
        <rFont val="Rockwell"/>
        <family val="1"/>
        <scheme val="minor"/>
      </rPr>
      <t>(a cura di Saverio Malatesta, saverio_malatesta@regione.lombardia.it e Marco Papale, marco_papale@regione.lombardia.it )</t>
    </r>
  </si>
  <si>
    <t>Somma degli importi neglle gratuatorie allegati A1 e B1 al decreto</t>
  </si>
  <si>
    <t>2.1 - Sviluppo logistica per i settori agroalimentare, pesca e acquacoltura, silvicoltura, floricoltura e vivaismo</t>
  </si>
  <si>
    <t>Ministero dell'Agricoltura</t>
  </si>
  <si>
    <t>Finanziamento per Sogemi (Società per l’Impianto e l’Esercizio dei Mercati Annonari all’Ingrosso di Milano)</t>
  </si>
  <si>
    <t xml:space="preserve">
Tre progetti ammessi afinanziamento (Comunità montana Valtellina di Sondrio, Comunità montana Valsassina Valvarrone Val d’Esino e Riviera Parco Regionale Grigna Settentrionale, Comunità di Morbegno)
Cofinanziamento di 400.000 € per comunità montana Valtellina</t>
  </si>
  <si>
    <t>Logistica-Commercio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</si>
</sst>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Red]\-#,##0.00\ &quot;€&quot;"/>
    <numFmt numFmtId="44" formatCode="_-* #,##0.00\ &quot;€&quot;_-;\-* #,##0.00\ &quot;€&quot;_-;_-* &quot;-&quot;??\ &quot;€&quot;_-;_-@_-"/>
    <numFmt numFmtId="43" formatCode="_-* #,##0.00_-;\-* #,##0.00_-;_-* &quot;-&quot;??_-;_-@_-"/>
    <numFmt numFmtId="164" formatCode="[$€-2]\ #,##0.00;[Red]\-[$€-2]\ #,##0.00"/>
    <numFmt numFmtId="165" formatCode="#,##0.00\ &quot;€&quot;"/>
    <numFmt numFmtId="166" formatCode="_-* #,##0.00\ [$€-410]_-;\-* #,##0.00\ [$€-410]_-;_-* &quot;-&quot;??\ [$€-410]_-;_-@_-"/>
    <numFmt numFmtId="167" formatCode="[$-410]d\-mmm\-yy;@"/>
    <numFmt numFmtId="168" formatCode="#,##0\ &quot;€&quot;"/>
  </numFmts>
  <fonts count="65" x14ac:knownFonts="1">
    <font>
      <sz val="11"/>
      <color theme="1"/>
      <name val="Rockwell"/>
      <family val="2"/>
      <scheme val="minor"/>
    </font>
    <font>
      <sz val="12"/>
      <color theme="1"/>
      <name val="Rockwell"/>
      <family val="2"/>
      <scheme val="minor"/>
    </font>
    <font>
      <b/>
      <sz val="12"/>
      <color theme="1"/>
      <name val="Rockwell"/>
      <family val="2"/>
      <scheme val="minor"/>
    </font>
    <font>
      <sz val="8"/>
      <name val="Rockwell"/>
      <family val="2"/>
      <scheme val="minor"/>
    </font>
    <font>
      <sz val="12"/>
      <name val="Rockwell"/>
      <family val="2"/>
      <scheme val="minor"/>
    </font>
    <font>
      <b/>
      <sz val="12"/>
      <name val="Rockwell"/>
      <family val="2"/>
      <scheme val="minor"/>
    </font>
    <font>
      <sz val="11"/>
      <color theme="1"/>
      <name val="Rockwell"/>
      <family val="2"/>
      <scheme val="minor"/>
    </font>
    <font>
      <sz val="10"/>
      <color rgb="FF000000"/>
      <name val="Times New Roman"/>
      <family val="1"/>
    </font>
    <font>
      <b/>
      <sz val="14"/>
      <color theme="1"/>
      <name val="Calibri Light"/>
      <family val="2"/>
    </font>
    <font>
      <sz val="11"/>
      <color theme="1"/>
      <name val="Calibri Light"/>
      <family val="2"/>
    </font>
    <font>
      <b/>
      <sz val="14"/>
      <color rgb="FFFF0000"/>
      <name val="Calibri Light"/>
      <family val="2"/>
    </font>
    <font>
      <sz val="14"/>
      <color theme="1"/>
      <name val="Calibri Light"/>
      <family val="2"/>
    </font>
    <font>
      <b/>
      <u/>
      <sz val="14"/>
      <color rgb="FFFF0000"/>
      <name val="Calibri Light"/>
      <family val="2"/>
    </font>
    <font>
      <b/>
      <sz val="16"/>
      <color rgb="FFFF0000"/>
      <name val="Calibri Light"/>
      <family val="2"/>
    </font>
    <font>
      <b/>
      <sz val="11"/>
      <color theme="1"/>
      <name val="Calibri Light"/>
      <family val="2"/>
    </font>
    <font>
      <b/>
      <sz val="12"/>
      <color theme="1"/>
      <name val="Calibri Light"/>
      <family val="2"/>
    </font>
    <font>
      <b/>
      <sz val="16"/>
      <color theme="1"/>
      <name val="Calibri Light"/>
      <family val="2"/>
    </font>
    <font>
      <sz val="16"/>
      <color theme="1"/>
      <name val="Calibri Light"/>
      <family val="2"/>
    </font>
    <font>
      <sz val="12"/>
      <color theme="1"/>
      <name val="Calibri Light"/>
      <family val="2"/>
    </font>
    <font>
      <b/>
      <sz val="11"/>
      <color rgb="FFFF0000"/>
      <name val="Calibri Light"/>
      <family val="2"/>
    </font>
    <font>
      <b/>
      <sz val="12"/>
      <color rgb="FFFF0000"/>
      <name val="Calibri Light"/>
      <family val="2"/>
    </font>
    <font>
      <b/>
      <sz val="12"/>
      <name val="Calibri Light"/>
      <family val="2"/>
    </font>
    <font>
      <sz val="11"/>
      <name val="Calibri Light"/>
      <family val="2"/>
    </font>
    <font>
      <b/>
      <sz val="11"/>
      <name val="Calibri Light"/>
      <family val="2"/>
    </font>
    <font>
      <b/>
      <sz val="11"/>
      <color rgb="FF0070C0"/>
      <name val="Calibri Light"/>
      <family val="2"/>
    </font>
    <font>
      <sz val="18"/>
      <color rgb="FFFF0000"/>
      <name val="Rockwell"/>
      <family val="1"/>
      <scheme val="minor"/>
    </font>
    <font>
      <sz val="18"/>
      <color theme="1"/>
      <name val="Rockwell"/>
      <family val="1"/>
      <scheme val="minor"/>
    </font>
    <font>
      <i/>
      <sz val="18"/>
      <color theme="1"/>
      <name val="Rockwell"/>
      <family val="1"/>
      <scheme val="minor"/>
    </font>
    <font>
      <sz val="12"/>
      <color rgb="FFFF0000"/>
      <name val="Calibri Light"/>
      <family val="2"/>
    </font>
    <font>
      <b/>
      <sz val="14"/>
      <name val="Calibri Light"/>
      <family val="2"/>
    </font>
    <font>
      <b/>
      <i/>
      <sz val="11"/>
      <color theme="1"/>
      <name val="Calibri Light"/>
      <family val="2"/>
    </font>
    <font>
      <b/>
      <i/>
      <sz val="11"/>
      <color rgb="FFFF0000"/>
      <name val="Calibri Light"/>
      <family val="2"/>
    </font>
    <font>
      <sz val="12"/>
      <name val="Calibri Light"/>
      <family val="2"/>
    </font>
    <font>
      <b/>
      <sz val="12"/>
      <color rgb="FF00B0F0"/>
      <name val="Calibri Light"/>
      <family val="2"/>
    </font>
    <font>
      <b/>
      <sz val="14"/>
      <color rgb="FF000000"/>
      <name val="Calibri Light"/>
      <family val="2"/>
    </font>
    <font>
      <sz val="12"/>
      <color theme="1"/>
      <name val="Rockwell"/>
      <family val="1"/>
      <scheme val="minor"/>
    </font>
    <font>
      <b/>
      <sz val="12"/>
      <color theme="1"/>
      <name val="Rockwell"/>
      <family val="1"/>
      <scheme val="minor"/>
    </font>
    <font>
      <u/>
      <sz val="11"/>
      <color theme="10"/>
      <name val="Rockwell"/>
      <family val="2"/>
      <scheme val="minor"/>
    </font>
    <font>
      <u/>
      <sz val="12"/>
      <color theme="10"/>
      <name val="Rockwell"/>
      <family val="2"/>
      <scheme val="minor"/>
    </font>
    <font>
      <sz val="14"/>
      <color theme="1"/>
      <name val="Segoe UI"/>
      <family val="2"/>
    </font>
    <font>
      <b/>
      <sz val="12"/>
      <color rgb="FFFF0000"/>
      <name val="Rockwell"/>
      <family val="2"/>
      <scheme val="minor"/>
    </font>
    <font>
      <b/>
      <sz val="12"/>
      <name val="Rockwell"/>
      <family val="1"/>
      <scheme val="minor"/>
    </font>
    <font>
      <b/>
      <sz val="12"/>
      <name val="Calibri"/>
      <family val="2"/>
    </font>
    <font>
      <sz val="14"/>
      <color theme="1"/>
      <name val="Rockwell"/>
      <family val="1"/>
      <scheme val="minor"/>
    </font>
    <font>
      <b/>
      <sz val="12"/>
      <color rgb="FF0070C0"/>
      <name val="Calibri Light"/>
      <family val="2"/>
    </font>
    <font>
      <strike/>
      <sz val="12"/>
      <color rgb="FF0070C0"/>
      <name val="Calibri Light"/>
      <family val="2"/>
    </font>
    <font>
      <sz val="14"/>
      <name val="Calibri Light"/>
      <family val="2"/>
    </font>
    <font>
      <u/>
      <sz val="12"/>
      <color rgb="FF0070C0"/>
      <name val="Calibri Light"/>
      <family val="2"/>
    </font>
    <font>
      <u/>
      <sz val="12"/>
      <name val="Calibri Light"/>
      <family val="2"/>
    </font>
    <font>
      <sz val="14"/>
      <color rgb="FFFF0000"/>
      <name val="Calibri Light"/>
      <family val="2"/>
    </font>
    <font>
      <b/>
      <sz val="14"/>
      <name val="Rockwell"/>
      <family val="1"/>
      <scheme val="minor"/>
    </font>
    <font>
      <b/>
      <sz val="12"/>
      <color theme="4" tint="-0.249977111117893"/>
      <name val="Calibri Light"/>
      <family val="2"/>
    </font>
    <font>
      <b/>
      <sz val="14"/>
      <color theme="4" tint="-0.249977111117893"/>
      <name val="Calibri Light"/>
      <family val="2"/>
    </font>
    <font>
      <sz val="14"/>
      <color theme="4" tint="-0.249977111117893"/>
      <name val="Calibri Light"/>
      <family val="2"/>
    </font>
    <font>
      <b/>
      <strike/>
      <sz val="12"/>
      <color theme="1"/>
      <name val="Calibri Light"/>
      <family val="2"/>
    </font>
    <font>
      <strike/>
      <sz val="12"/>
      <name val="Calibri Light"/>
      <family val="2"/>
    </font>
    <font>
      <b/>
      <sz val="12"/>
      <color rgb="FF00B0F0"/>
      <name val="Rockwell"/>
      <family val="1"/>
      <scheme val="minor"/>
    </font>
    <font>
      <b/>
      <sz val="14"/>
      <color rgb="FF00B0F0"/>
      <name val="Calibri Light"/>
      <family val="2"/>
    </font>
    <font>
      <sz val="12"/>
      <color rgb="FF0070C0"/>
      <name val="Calibri Light"/>
      <family val="2"/>
    </font>
    <font>
      <sz val="12"/>
      <color rgb="FFFF0000"/>
      <name val="Calibri"/>
      <family val="2"/>
    </font>
    <font>
      <sz val="12"/>
      <name val="Calibri"/>
      <family val="2"/>
    </font>
    <font>
      <b/>
      <sz val="12"/>
      <color rgb="FFFF0000"/>
      <name val="Calibri"/>
      <family val="2"/>
    </font>
    <font>
      <b/>
      <sz val="12"/>
      <color rgb="FFFFFF00"/>
      <name val="Calibri Light"/>
      <family val="2"/>
    </font>
    <font>
      <b/>
      <sz val="12"/>
      <color theme="1"/>
      <name val="Calibri Light"/>
      <family val="2"/>
    </font>
    <font>
      <b/>
      <sz val="12"/>
      <color rgb="FF000000"/>
      <name val="Calibri Light"/>
      <family val="2"/>
    </font>
  </fonts>
  <fills count="1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9"/>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8"/>
        <bgColor indexed="64"/>
      </patternFill>
    </fill>
    <fill>
      <patternFill patternType="solid">
        <fgColor theme="5"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3">
    <xf numFmtId="0" fontId="0" fillId="0" borderId="0"/>
    <xf numFmtId="9" fontId="6" fillId="0" borderId="0" applyFont="0" applyFill="0" applyBorder="0" applyAlignment="0" applyProtection="0"/>
    <xf numFmtId="43" fontId="6" fillId="0" borderId="0" applyFont="0" applyFill="0" applyBorder="0" applyAlignment="0" applyProtection="0"/>
    <xf numFmtId="0" fontId="7" fillId="0" borderId="0"/>
    <xf numFmtId="44" fontId="6" fillId="0" borderId="0" applyFont="0" applyFill="0" applyBorder="0" applyAlignment="0" applyProtection="0"/>
    <xf numFmtId="0" fontId="37" fillId="0" borderId="0" applyNumberFormat="0" applyFill="0" applyBorder="0" applyAlignment="0" applyProtection="0"/>
    <xf numFmtId="44"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cellStyleXfs>
  <cellXfs count="528">
    <xf numFmtId="0" fontId="0" fillId="0" borderId="0" xfId="0"/>
    <xf numFmtId="0" fontId="9" fillId="0" borderId="0" xfId="0" applyFont="1"/>
    <xf numFmtId="165" fontId="10" fillId="0" borderId="0" xfId="0" applyNumberFormat="1" applyFont="1"/>
    <xf numFmtId="165" fontId="9" fillId="0" borderId="0" xfId="0" applyNumberFormat="1" applyFont="1"/>
    <xf numFmtId="165" fontId="13" fillId="0" borderId="0" xfId="0" applyNumberFormat="1" applyFont="1"/>
    <xf numFmtId="0" fontId="10"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2" applyNumberFormat="1" applyFont="1" applyBorder="1" applyAlignment="1">
      <alignment vertical="center" wrapText="1"/>
    </xf>
    <xf numFmtId="0" fontId="18" fillId="8" borderId="1" xfId="0" applyFont="1" applyFill="1" applyBorder="1" applyAlignment="1">
      <alignment horizontal="center" vertical="center"/>
    </xf>
    <xf numFmtId="0" fontId="15" fillId="8" borderId="1" xfId="0" applyFont="1" applyFill="1" applyBorder="1" applyAlignment="1">
      <alignment vertical="center" wrapText="1"/>
    </xf>
    <xf numFmtId="0" fontId="15" fillId="8" borderId="1" xfId="0" applyFont="1" applyFill="1" applyBorder="1" applyAlignment="1">
      <alignment vertical="center"/>
    </xf>
    <xf numFmtId="165" fontId="15" fillId="8" borderId="1" xfId="0" applyNumberFormat="1" applyFont="1" applyFill="1" applyBorder="1" applyAlignment="1">
      <alignment horizontal="center" vertical="center"/>
    </xf>
    <xf numFmtId="43" fontId="14" fillId="8" borderId="1" xfId="2" applyFont="1" applyFill="1" applyBorder="1" applyAlignment="1">
      <alignment vertical="center" wrapText="1"/>
    </xf>
    <xf numFmtId="165" fontId="15" fillId="8" borderId="9" xfId="0" applyNumberFormat="1" applyFont="1" applyFill="1" applyBorder="1" applyAlignment="1">
      <alignment horizontal="center" vertical="center"/>
    </xf>
    <xf numFmtId="0" fontId="18" fillId="5" borderId="1" xfId="0" applyFont="1" applyFill="1" applyBorder="1" applyAlignment="1">
      <alignment horizontal="center" vertical="center" wrapText="1"/>
    </xf>
    <xf numFmtId="0" fontId="15" fillId="5" borderId="1" xfId="0" applyFont="1" applyFill="1" applyBorder="1" applyAlignment="1">
      <alignment vertical="center" wrapText="1"/>
    </xf>
    <xf numFmtId="0" fontId="20" fillId="5" borderId="1" xfId="0" applyFont="1" applyFill="1" applyBorder="1" applyAlignment="1">
      <alignment horizontal="center" vertical="center" wrapText="1"/>
    </xf>
    <xf numFmtId="165" fontId="15" fillId="5" borderId="1" xfId="0" applyNumberFormat="1" applyFont="1" applyFill="1" applyBorder="1" applyAlignment="1">
      <alignment horizontal="center" vertical="center"/>
    </xf>
    <xf numFmtId="165" fontId="15" fillId="5" borderId="9" xfId="0" applyNumberFormat="1" applyFont="1" applyFill="1" applyBorder="1" applyAlignment="1">
      <alignment horizontal="center" vertical="center" wrapText="1"/>
    </xf>
    <xf numFmtId="43" fontId="15" fillId="5" borderId="1" xfId="2" applyFont="1" applyFill="1" applyBorder="1" applyAlignment="1">
      <alignment vertical="center" wrapText="1"/>
    </xf>
    <xf numFmtId="0" fontId="18" fillId="4" borderId="1" xfId="0" applyFont="1" applyFill="1" applyBorder="1" applyAlignment="1">
      <alignment horizontal="center" vertical="center" wrapText="1"/>
    </xf>
    <xf numFmtId="0" fontId="18" fillId="4" borderId="1" xfId="0" applyFont="1" applyFill="1" applyBorder="1" applyAlignment="1">
      <alignment vertical="center" wrapText="1"/>
    </xf>
    <xf numFmtId="0" fontId="15" fillId="4" borderId="1" xfId="0" applyFont="1" applyFill="1" applyBorder="1" applyAlignment="1">
      <alignment vertical="center" wrapText="1"/>
    </xf>
    <xf numFmtId="0" fontId="20" fillId="4" borderId="1" xfId="0" applyFont="1" applyFill="1" applyBorder="1" applyAlignment="1">
      <alignment horizontal="center" vertical="center" wrapText="1"/>
    </xf>
    <xf numFmtId="165" fontId="15" fillId="4" borderId="1" xfId="0" applyNumberFormat="1" applyFont="1" applyFill="1" applyBorder="1" applyAlignment="1">
      <alignment horizontal="center" vertical="center" wrapText="1"/>
    </xf>
    <xf numFmtId="43" fontId="15" fillId="4" borderId="1" xfId="2" applyFont="1" applyFill="1" applyBorder="1" applyAlignment="1">
      <alignment vertical="center" wrapText="1"/>
    </xf>
    <xf numFmtId="0" fontId="9" fillId="4" borderId="1" xfId="0" applyFont="1" applyFill="1" applyBorder="1" applyAlignment="1">
      <alignment horizontal="center" vertical="center"/>
    </xf>
    <xf numFmtId="164" fontId="15" fillId="4" borderId="1" xfId="0" applyNumberFormat="1" applyFont="1" applyFill="1" applyBorder="1" applyAlignment="1">
      <alignment horizontal="center" vertical="center" wrapText="1"/>
    </xf>
    <xf numFmtId="43" fontId="14" fillId="4" borderId="1" xfId="2" applyFont="1" applyFill="1" applyBorder="1" applyAlignment="1">
      <alignment vertical="center" wrapText="1"/>
    </xf>
    <xf numFmtId="0" fontId="15" fillId="4" borderId="1" xfId="0" applyFont="1" applyFill="1" applyBorder="1" applyAlignment="1">
      <alignment horizontal="left" vertical="center" wrapText="1"/>
    </xf>
    <xf numFmtId="0" fontId="15" fillId="10" borderId="1" xfId="0" applyFont="1" applyFill="1" applyBorder="1" applyAlignment="1">
      <alignment vertical="center" wrapText="1"/>
    </xf>
    <xf numFmtId="0" fontId="15" fillId="10" borderId="1" xfId="0" applyFont="1" applyFill="1" applyBorder="1" applyAlignment="1">
      <alignment horizontal="center" vertical="center" wrapText="1"/>
    </xf>
    <xf numFmtId="0" fontId="9" fillId="10" borderId="1" xfId="0" applyFont="1" applyFill="1" applyBorder="1" applyAlignment="1">
      <alignment vertical="center" wrapText="1"/>
    </xf>
    <xf numFmtId="165" fontId="15" fillId="10" borderId="1" xfId="0" applyNumberFormat="1" applyFont="1" applyFill="1" applyBorder="1" applyAlignment="1">
      <alignment horizontal="center" vertical="center" wrapText="1"/>
    </xf>
    <xf numFmtId="165" fontId="15" fillId="10" borderId="9" xfId="0" applyNumberFormat="1" applyFont="1" applyFill="1" applyBorder="1" applyAlignment="1">
      <alignment horizontal="center" vertical="center"/>
    </xf>
    <xf numFmtId="43" fontId="15" fillId="10" borderId="1" xfId="2" applyFont="1" applyFill="1" applyBorder="1" applyAlignment="1">
      <alignment vertical="center" wrapText="1"/>
    </xf>
    <xf numFmtId="0" fontId="18" fillId="6"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15" fillId="6" borderId="1" xfId="0" applyFont="1" applyFill="1" applyBorder="1" applyAlignment="1">
      <alignment vertical="center" wrapText="1"/>
    </xf>
    <xf numFmtId="0" fontId="21" fillId="6" borderId="1" xfId="0" applyFont="1" applyFill="1" applyBorder="1" applyAlignment="1">
      <alignment vertical="center" wrapText="1"/>
    </xf>
    <xf numFmtId="0" fontId="21"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165" fontId="15" fillId="6" borderId="1" xfId="0" applyNumberFormat="1" applyFont="1" applyFill="1" applyBorder="1" applyAlignment="1">
      <alignment horizontal="center" vertical="center" wrapText="1"/>
    </xf>
    <xf numFmtId="43" fontId="14" fillId="6" borderId="1" xfId="2" applyFont="1" applyFill="1" applyBorder="1" applyAlignment="1">
      <alignment vertical="center" wrapText="1"/>
    </xf>
    <xf numFmtId="0" fontId="18" fillId="7" borderId="1" xfId="0" applyFont="1" applyFill="1" applyBorder="1" applyAlignment="1">
      <alignment horizontal="center" vertical="center" wrapText="1"/>
    </xf>
    <xf numFmtId="0" fontId="15" fillId="7" borderId="1" xfId="0" applyFont="1" applyFill="1" applyBorder="1" applyAlignment="1">
      <alignment vertical="center" wrapText="1"/>
    </xf>
    <xf numFmtId="0" fontId="21" fillId="7" borderId="1" xfId="0" applyFont="1" applyFill="1" applyBorder="1" applyAlignment="1">
      <alignment vertical="center" wrapText="1"/>
    </xf>
    <xf numFmtId="0" fontId="20" fillId="7" borderId="1" xfId="0" applyFont="1" applyFill="1" applyBorder="1" applyAlignment="1">
      <alignment horizontal="center" vertical="center" wrapText="1"/>
    </xf>
    <xf numFmtId="165" fontId="15" fillId="7" borderId="1" xfId="0" applyNumberFormat="1" applyFont="1" applyFill="1" applyBorder="1" applyAlignment="1">
      <alignment horizontal="center" vertical="center" wrapText="1"/>
    </xf>
    <xf numFmtId="43" fontId="14" fillId="7" borderId="1" xfId="2" applyFont="1" applyFill="1" applyBorder="1" applyAlignment="1">
      <alignment vertical="center" wrapText="1"/>
    </xf>
    <xf numFmtId="0" fontId="15" fillId="7" borderId="1" xfId="0" applyFont="1" applyFill="1" applyBorder="1" applyAlignment="1">
      <alignment horizontal="center" vertical="center" wrapText="1"/>
    </xf>
    <xf numFmtId="0" fontId="18" fillId="0" borderId="1" xfId="0" applyFont="1" applyBorder="1" applyAlignment="1">
      <alignment horizontal="center" vertical="center"/>
    </xf>
    <xf numFmtId="0" fontId="15" fillId="0" borderId="1" xfId="0" applyFont="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165" fontId="15" fillId="0" borderId="1" xfId="0" applyNumberFormat="1" applyFont="1" applyBorder="1" applyAlignment="1">
      <alignment horizontal="center" vertical="center"/>
    </xf>
    <xf numFmtId="43" fontId="14" fillId="2" borderId="1" xfId="2" applyFont="1" applyFill="1" applyBorder="1" applyAlignment="1">
      <alignment vertical="center" wrapText="1"/>
    </xf>
    <xf numFmtId="0" fontId="18" fillId="5" borderId="1" xfId="0" applyFont="1" applyFill="1" applyBorder="1" applyAlignment="1">
      <alignment horizontal="left" vertical="center" wrapText="1"/>
    </xf>
    <xf numFmtId="0" fontId="21" fillId="5" borderId="1" xfId="0" applyFont="1" applyFill="1" applyBorder="1" applyAlignment="1">
      <alignment vertical="center" wrapText="1"/>
    </xf>
    <xf numFmtId="164" fontId="15"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xf>
    <xf numFmtId="0" fontId="21" fillId="7"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5" fillId="3" borderId="1" xfId="0" applyFont="1" applyFill="1" applyBorder="1" applyAlignment="1">
      <alignment vertical="center" wrapText="1"/>
    </xf>
    <xf numFmtId="0" fontId="21" fillId="3" borderId="1" xfId="0" applyFont="1" applyFill="1" applyBorder="1" applyAlignment="1">
      <alignment vertical="center" wrapText="1"/>
    </xf>
    <xf numFmtId="0" fontId="21"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165" fontId="15" fillId="3" borderId="1" xfId="0" applyNumberFormat="1" applyFont="1" applyFill="1" applyBorder="1" applyAlignment="1">
      <alignment horizontal="center" vertical="center" wrapText="1"/>
    </xf>
    <xf numFmtId="43" fontId="14" fillId="3" borderId="1" xfId="2" applyFont="1" applyFill="1" applyBorder="1" applyAlignment="1">
      <alignment vertical="center" wrapText="1"/>
    </xf>
    <xf numFmtId="0" fontId="9" fillId="4" borderId="1" xfId="0" applyFont="1" applyFill="1" applyBorder="1" applyAlignment="1">
      <alignment vertical="center" wrapText="1"/>
    </xf>
    <xf numFmtId="0" fontId="9" fillId="4" borderId="1" xfId="0" applyFont="1" applyFill="1" applyBorder="1" applyAlignment="1">
      <alignment vertical="center"/>
    </xf>
    <xf numFmtId="165" fontId="9" fillId="4" borderId="1" xfId="0" applyNumberFormat="1" applyFont="1" applyFill="1" applyBorder="1" applyAlignment="1">
      <alignment vertical="center"/>
    </xf>
    <xf numFmtId="0" fontId="18" fillId="4" borderId="1" xfId="0" applyFont="1" applyFill="1" applyBorder="1" applyAlignment="1">
      <alignment horizontal="left" vertical="center" wrapText="1"/>
    </xf>
    <xf numFmtId="165" fontId="15" fillId="4" borderId="1" xfId="0" applyNumberFormat="1" applyFont="1" applyFill="1" applyBorder="1" applyAlignment="1">
      <alignment horizontal="center" vertical="center"/>
    </xf>
    <xf numFmtId="165" fontId="9" fillId="4" borderId="1" xfId="0" applyNumberFormat="1" applyFont="1" applyFill="1" applyBorder="1" applyAlignment="1">
      <alignment horizontal="center" vertical="center" wrapText="1"/>
    </xf>
    <xf numFmtId="165" fontId="15" fillId="10" borderId="9"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9" fillId="0" borderId="0" xfId="0" applyFont="1" applyAlignment="1">
      <alignment vertical="center"/>
    </xf>
    <xf numFmtId="165" fontId="21" fillId="9" borderId="1" xfId="0" applyNumberFormat="1" applyFont="1" applyFill="1" applyBorder="1" applyAlignment="1">
      <alignment horizontal="center" vertical="center" wrapText="1"/>
    </xf>
    <xf numFmtId="165" fontId="15" fillId="9" borderId="9" xfId="0" applyNumberFormat="1" applyFont="1" applyFill="1" applyBorder="1" applyAlignment="1">
      <alignment horizontal="center" vertical="center" wrapText="1"/>
    </xf>
    <xf numFmtId="165" fontId="15" fillId="9" borderId="9" xfId="0" applyNumberFormat="1" applyFont="1" applyFill="1" applyBorder="1" applyAlignment="1">
      <alignment horizontal="center" vertical="center"/>
    </xf>
    <xf numFmtId="165" fontId="15" fillId="9" borderId="1" xfId="0" applyNumberFormat="1" applyFont="1" applyFill="1" applyBorder="1" applyAlignment="1">
      <alignment horizontal="center" vertical="center"/>
    </xf>
    <xf numFmtId="0" fontId="18" fillId="11" borderId="1" xfId="0" applyFont="1" applyFill="1" applyBorder="1" applyAlignment="1">
      <alignment horizontal="center" vertical="center" wrapText="1"/>
    </xf>
    <xf numFmtId="0" fontId="21" fillId="11" borderId="1" xfId="0" applyFont="1" applyFill="1" applyBorder="1" applyAlignment="1">
      <alignment vertical="center" wrapText="1"/>
    </xf>
    <xf numFmtId="0" fontId="20" fillId="11" borderId="1" xfId="0" applyFont="1" applyFill="1" applyBorder="1" applyAlignment="1">
      <alignment horizontal="center" vertical="center" wrapText="1"/>
    </xf>
    <xf numFmtId="165" fontId="15" fillId="11"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165" fontId="15" fillId="0" borderId="1" xfId="0" applyNumberFormat="1" applyFont="1" applyBorder="1" applyAlignment="1">
      <alignment horizontal="center" vertical="center" wrapText="1"/>
    </xf>
    <xf numFmtId="0" fontId="20" fillId="2" borderId="1" xfId="0" applyFont="1" applyFill="1" applyBorder="1" applyAlignment="1">
      <alignment horizontal="center" vertical="center" wrapText="1"/>
    </xf>
    <xf numFmtId="0" fontId="9" fillId="0" borderId="1" xfId="0" applyFont="1" applyBorder="1" applyAlignment="1">
      <alignment vertical="center"/>
    </xf>
    <xf numFmtId="165" fontId="15" fillId="0" borderId="9" xfId="0" applyNumberFormat="1" applyFont="1" applyBorder="1" applyAlignment="1">
      <alignment horizontal="center" vertical="center" wrapText="1"/>
    </xf>
    <xf numFmtId="0" fontId="9" fillId="0" borderId="1" xfId="0" applyFont="1" applyBorder="1"/>
    <xf numFmtId="0" fontId="10" fillId="0" borderId="3" xfId="0" applyFont="1" applyBorder="1" applyAlignment="1">
      <alignment horizontal="center" vertical="center" wrapText="1"/>
    </xf>
    <xf numFmtId="43" fontId="10" fillId="0" borderId="7" xfId="2" applyFont="1" applyBorder="1"/>
    <xf numFmtId="0" fontId="9" fillId="0" borderId="0" xfId="0" applyFont="1" applyAlignment="1">
      <alignment horizontal="center"/>
    </xf>
    <xf numFmtId="165" fontId="14" fillId="0" borderId="0" xfId="0" applyNumberFormat="1" applyFont="1" applyAlignment="1">
      <alignment horizontal="center" vertical="center" wrapText="1"/>
    </xf>
    <xf numFmtId="165" fontId="14" fillId="0" borderId="0" xfId="0" applyNumberFormat="1" applyFont="1" applyAlignment="1">
      <alignment horizontal="center" vertical="center"/>
    </xf>
    <xf numFmtId="165" fontId="10" fillId="0" borderId="2" xfId="0" applyNumberFormat="1" applyFont="1" applyBorder="1"/>
    <xf numFmtId="0" fontId="10" fillId="0" borderId="20" xfId="0" applyFont="1" applyBorder="1" applyAlignment="1">
      <alignment horizontal="center" wrapText="1"/>
    </xf>
    <xf numFmtId="165" fontId="10" fillId="0" borderId="23" xfId="0" applyNumberFormat="1" applyFont="1" applyBorder="1"/>
    <xf numFmtId="0" fontId="21" fillId="4" borderId="1" xfId="0"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49" fontId="18" fillId="8" borderId="1" xfId="0" applyNumberFormat="1" applyFont="1" applyFill="1" applyBorder="1" applyAlignment="1">
      <alignment horizontal="left" vertical="center" wrapText="1"/>
    </xf>
    <xf numFmtId="49" fontId="18" fillId="5" borderId="1" xfId="0" applyNumberFormat="1" applyFont="1" applyFill="1" applyBorder="1" applyAlignment="1">
      <alignment horizontal="center" vertical="center" wrapText="1"/>
    </xf>
    <xf numFmtId="49" fontId="18" fillId="4" borderId="1" xfId="0" applyNumberFormat="1" applyFont="1" applyFill="1" applyBorder="1" applyAlignment="1">
      <alignment horizontal="center" vertical="center" wrapText="1"/>
    </xf>
    <xf numFmtId="49" fontId="18" fillId="6" borderId="1" xfId="0" applyNumberFormat="1" applyFont="1" applyFill="1" applyBorder="1" applyAlignment="1">
      <alignment horizontal="center" vertical="center" wrapText="1"/>
    </xf>
    <xf numFmtId="49" fontId="18" fillId="7"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49" fontId="18" fillId="5" borderId="1" xfId="0" applyNumberFormat="1" applyFont="1" applyFill="1" applyBorder="1" applyAlignment="1">
      <alignment horizontal="left" vertical="center" wrapText="1"/>
    </xf>
    <xf numFmtId="49" fontId="18" fillId="3" borderId="1" xfId="0" applyNumberFormat="1" applyFont="1" applyFill="1" applyBorder="1" applyAlignment="1">
      <alignment horizontal="left" vertical="center" wrapText="1"/>
    </xf>
    <xf numFmtId="49" fontId="18" fillId="4" borderId="1" xfId="0" applyNumberFormat="1" applyFont="1" applyFill="1" applyBorder="1" applyAlignment="1">
      <alignment horizontal="left" vertical="center" wrapText="1"/>
    </xf>
    <xf numFmtId="49" fontId="18" fillId="10" borderId="1" xfId="0" applyNumberFormat="1" applyFont="1" applyFill="1" applyBorder="1" applyAlignment="1">
      <alignment horizontal="left" vertical="center" wrapText="1"/>
    </xf>
    <xf numFmtId="49" fontId="18" fillId="6" borderId="1" xfId="0" applyNumberFormat="1" applyFont="1" applyFill="1" applyBorder="1" applyAlignment="1">
      <alignment horizontal="left" vertical="center" wrapText="1"/>
    </xf>
    <xf numFmtId="49" fontId="18" fillId="6" borderId="1" xfId="0" applyNumberFormat="1" applyFont="1" applyFill="1" applyBorder="1" applyAlignment="1">
      <alignment vertical="center"/>
    </xf>
    <xf numFmtId="49" fontId="18" fillId="11" borderId="1" xfId="0" applyNumberFormat="1" applyFont="1" applyFill="1" applyBorder="1" applyAlignment="1">
      <alignment horizontal="left" vertical="center" wrapText="1"/>
    </xf>
    <xf numFmtId="0" fontId="20" fillId="8" borderId="1" xfId="0" applyFont="1" applyFill="1" applyBorder="1" applyAlignment="1">
      <alignment horizontal="center" vertical="center" wrapText="1"/>
    </xf>
    <xf numFmtId="0" fontId="26" fillId="0" borderId="0" xfId="0" applyFont="1" applyAlignment="1">
      <alignment horizontal="center" vertical="center" wrapText="1"/>
    </xf>
    <xf numFmtId="0" fontId="18" fillId="8" borderId="1" xfId="0" applyFont="1" applyFill="1" applyBorder="1" applyAlignment="1">
      <alignment horizontal="center" vertical="center" wrapText="1"/>
    </xf>
    <xf numFmtId="0" fontId="15" fillId="9" borderId="1" xfId="0" applyFont="1" applyFill="1" applyBorder="1" applyAlignment="1">
      <alignment vertical="center" wrapText="1"/>
    </xf>
    <xf numFmtId="17" fontId="15" fillId="9" borderId="1" xfId="0" applyNumberFormat="1" applyFont="1" applyFill="1" applyBorder="1" applyAlignment="1">
      <alignment vertical="center" wrapText="1"/>
    </xf>
    <xf numFmtId="0" fontId="18" fillId="9" borderId="1" xfId="0" applyFont="1" applyFill="1" applyBorder="1" applyAlignment="1">
      <alignment horizontal="center" vertical="center" wrapText="1"/>
    </xf>
    <xf numFmtId="49" fontId="18" fillId="9" borderId="1" xfId="0" applyNumberFormat="1" applyFont="1" applyFill="1" applyBorder="1" applyAlignment="1">
      <alignment horizontal="left" vertical="center" wrapText="1"/>
    </xf>
    <xf numFmtId="165" fontId="8" fillId="0" borderId="11" xfId="0" applyNumberFormat="1" applyFont="1" applyBorder="1"/>
    <xf numFmtId="165" fontId="10" fillId="0" borderId="12" xfId="0" applyNumberFormat="1" applyFont="1" applyBorder="1"/>
    <xf numFmtId="0" fontId="9" fillId="0" borderId="16" xfId="0" applyFont="1" applyBorder="1" applyAlignment="1">
      <alignment horizontal="center"/>
    </xf>
    <xf numFmtId="0" fontId="9" fillId="0" borderId="13" xfId="0" applyFont="1" applyBorder="1"/>
    <xf numFmtId="9" fontId="8" fillId="0" borderId="22" xfId="1" applyFont="1" applyBorder="1" applyAlignment="1">
      <alignment horizontal="center"/>
    </xf>
    <xf numFmtId="9" fontId="8" fillId="0" borderId="18" xfId="1" applyFont="1" applyBorder="1" applyAlignment="1">
      <alignment horizontal="center"/>
    </xf>
    <xf numFmtId="0" fontId="10" fillId="0" borderId="19" xfId="0" applyFont="1" applyBorder="1" applyAlignment="1">
      <alignment horizontal="center" wrapText="1"/>
    </xf>
    <xf numFmtId="43" fontId="10" fillId="0" borderId="25" xfId="2" applyFont="1" applyBorder="1"/>
    <xf numFmtId="43" fontId="10" fillId="0" borderId="23" xfId="2" applyFont="1" applyBorder="1"/>
    <xf numFmtId="43" fontId="10" fillId="0" borderId="24" xfId="2" applyFont="1" applyBorder="1"/>
    <xf numFmtId="0" fontId="9" fillId="0" borderId="26" xfId="0" applyFont="1" applyBorder="1"/>
    <xf numFmtId="0" fontId="10" fillId="0" borderId="16" xfId="0" applyFont="1" applyBorder="1" applyAlignment="1">
      <alignment horizontal="center"/>
    </xf>
    <xf numFmtId="0" fontId="8" fillId="0" borderId="21" xfId="0" applyFont="1" applyBorder="1" applyAlignment="1">
      <alignment horizontal="center"/>
    </xf>
    <xf numFmtId="0" fontId="8" fillId="0" borderId="26" xfId="0" applyFont="1" applyBorder="1" applyAlignment="1">
      <alignment horizontal="center" wrapText="1"/>
    </xf>
    <xf numFmtId="0" fontId="8" fillId="0" borderId="30" xfId="0" applyFont="1" applyBorder="1" applyAlignment="1">
      <alignment horizontal="center" wrapText="1"/>
    </xf>
    <xf numFmtId="165" fontId="10" fillId="0" borderId="4" xfId="0" applyNumberFormat="1" applyFont="1" applyBorder="1"/>
    <xf numFmtId="0" fontId="10" fillId="0" borderId="0" xfId="0" applyFont="1" applyAlignment="1">
      <alignment horizontal="center" wrapText="1"/>
    </xf>
    <xf numFmtId="165" fontId="8" fillId="0" borderId="0" xfId="0" applyNumberFormat="1" applyFont="1"/>
    <xf numFmtId="0" fontId="8" fillId="0" borderId="6"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14" fillId="0" borderId="0" xfId="0" applyFont="1" applyAlignment="1">
      <alignment horizontal="center" wrapText="1"/>
    </xf>
    <xf numFmtId="2" fontId="11" fillId="0" borderId="0" xfId="1" applyNumberFormat="1" applyFont="1" applyBorder="1"/>
    <xf numFmtId="2" fontId="8" fillId="0" borderId="22" xfId="1" applyNumberFormat="1" applyFont="1" applyBorder="1" applyAlignment="1">
      <alignment horizontal="center"/>
    </xf>
    <xf numFmtId="2" fontId="8" fillId="0" borderId="18" xfId="1" applyNumberFormat="1" applyFont="1" applyBorder="1" applyAlignment="1">
      <alignment horizontal="center"/>
    </xf>
    <xf numFmtId="0" fontId="8" fillId="0" borderId="0" xfId="0" applyFont="1" applyAlignment="1">
      <alignment horizontal="center"/>
    </xf>
    <xf numFmtId="165" fontId="8" fillId="0" borderId="1" xfId="1" applyNumberFormat="1" applyFont="1" applyBorder="1"/>
    <xf numFmtId="2" fontId="8" fillId="0" borderId="0" xfId="1" applyNumberFormat="1" applyFont="1" applyBorder="1" applyAlignment="1">
      <alignment horizontal="center"/>
    </xf>
    <xf numFmtId="0" fontId="9" fillId="0" borderId="17" xfId="0" applyFont="1" applyBorder="1"/>
    <xf numFmtId="0" fontId="8" fillId="0" borderId="8" xfId="0" applyFont="1" applyBorder="1" applyAlignment="1">
      <alignment horizontal="center"/>
    </xf>
    <xf numFmtId="0" fontId="14"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19" fillId="0" borderId="19" xfId="0" applyFont="1" applyBorder="1" applyAlignment="1">
      <alignment horizontal="center" vertical="center" wrapText="1"/>
    </xf>
    <xf numFmtId="165" fontId="10" fillId="0" borderId="1" xfId="1" applyNumberFormat="1" applyFont="1" applyBorder="1"/>
    <xf numFmtId="165" fontId="10" fillId="0" borderId="28" xfId="0" applyNumberFormat="1" applyFont="1" applyBorder="1"/>
    <xf numFmtId="165" fontId="10" fillId="0" borderId="29" xfId="0" applyNumberFormat="1" applyFont="1" applyBorder="1"/>
    <xf numFmtId="0" fontId="18" fillId="10" borderId="1" xfId="0" applyFont="1" applyFill="1" applyBorder="1" applyAlignment="1">
      <alignment vertical="center" wrapText="1"/>
    </xf>
    <xf numFmtId="0" fontId="18" fillId="10" borderId="0" xfId="0" applyFont="1" applyFill="1" applyAlignment="1">
      <alignment vertical="center" wrapText="1"/>
    </xf>
    <xf numFmtId="0" fontId="18" fillId="4" borderId="1" xfId="0" applyFont="1" applyFill="1" applyBorder="1" applyAlignment="1">
      <alignment horizontal="center" vertical="center"/>
    </xf>
    <xf numFmtId="0" fontId="18" fillId="8" borderId="1" xfId="0" applyFont="1" applyFill="1" applyBorder="1" applyAlignment="1">
      <alignment vertical="center" wrapText="1"/>
    </xf>
    <xf numFmtId="0" fontId="18" fillId="10" borderId="1" xfId="0" applyFont="1" applyFill="1" applyBorder="1" applyAlignment="1">
      <alignment horizontal="center" vertical="center" wrapText="1"/>
    </xf>
    <xf numFmtId="49" fontId="18" fillId="4" borderId="1" xfId="0" applyNumberFormat="1" applyFont="1" applyFill="1" applyBorder="1" applyAlignment="1">
      <alignment vertical="center" wrapText="1"/>
    </xf>
    <xf numFmtId="49" fontId="18" fillId="5" borderId="1" xfId="0" applyNumberFormat="1" applyFont="1" applyFill="1" applyBorder="1" applyAlignment="1">
      <alignment horizontal="left" vertical="center"/>
    </xf>
    <xf numFmtId="0" fontId="18" fillId="5" borderId="1" xfId="0" applyFont="1" applyFill="1" applyBorder="1" applyAlignment="1">
      <alignment vertical="center" wrapText="1"/>
    </xf>
    <xf numFmtId="43" fontId="15" fillId="7" borderId="1" xfId="2" applyFont="1" applyFill="1" applyBorder="1" applyAlignment="1">
      <alignment vertical="center" wrapText="1"/>
    </xf>
    <xf numFmtId="0" fontId="18" fillId="6" borderId="1" xfId="0" applyFont="1" applyFill="1" applyBorder="1" applyAlignment="1">
      <alignment vertical="center" wrapText="1"/>
    </xf>
    <xf numFmtId="0" fontId="15" fillId="9" borderId="1" xfId="0" applyFont="1" applyFill="1" applyBorder="1" applyAlignment="1">
      <alignment horizontal="center" vertical="center" wrapText="1"/>
    </xf>
    <xf numFmtId="0" fontId="18" fillId="6" borderId="0" xfId="0" applyFont="1" applyFill="1" applyAlignment="1">
      <alignment vertical="center" wrapText="1"/>
    </xf>
    <xf numFmtId="0" fontId="20" fillId="12" borderId="1" xfId="0" applyFont="1" applyFill="1" applyBorder="1" applyAlignment="1">
      <alignment horizontal="center" vertical="center" wrapText="1"/>
    </xf>
    <xf numFmtId="165" fontId="15" fillId="12" borderId="9" xfId="4" applyNumberFormat="1" applyFont="1" applyFill="1" applyBorder="1" applyAlignment="1">
      <alignment horizontal="center" vertical="center" wrapText="1"/>
    </xf>
    <xf numFmtId="165" fontId="15" fillId="8" borderId="9" xfId="0" applyNumberFormat="1" applyFont="1" applyFill="1" applyBorder="1" applyAlignment="1">
      <alignment horizontal="center" vertical="center" wrapText="1"/>
    </xf>
    <xf numFmtId="165" fontId="15" fillId="12" borderId="1" xfId="0" applyNumberFormat="1" applyFont="1" applyFill="1" applyBorder="1" applyAlignment="1">
      <alignment horizontal="center" vertical="center" wrapText="1"/>
    </xf>
    <xf numFmtId="43" fontId="14" fillId="12" borderId="1" xfId="2" applyFont="1" applyFill="1" applyBorder="1" applyAlignment="1">
      <alignment vertical="center" wrapText="1"/>
    </xf>
    <xf numFmtId="0" fontId="18" fillId="12" borderId="1" xfId="0" applyFont="1" applyFill="1" applyBorder="1" applyAlignment="1">
      <alignment horizontal="center" vertical="center" wrapText="1"/>
    </xf>
    <xf numFmtId="43" fontId="33" fillId="4" borderId="1" xfId="2" applyFont="1" applyFill="1" applyBorder="1" applyAlignment="1">
      <alignment vertical="center" wrapText="1"/>
    </xf>
    <xf numFmtId="0" fontId="18" fillId="2" borderId="1" xfId="0" applyFont="1" applyFill="1" applyBorder="1" applyAlignment="1">
      <alignment horizontal="center" vertical="center" wrapText="1"/>
    </xf>
    <xf numFmtId="9" fontId="9" fillId="0" borderId="0" xfId="1" applyFont="1"/>
    <xf numFmtId="2" fontId="29" fillId="0" borderId="0" xfId="0" applyNumberFormat="1" applyFont="1" applyAlignment="1">
      <alignment horizontal="center" vertical="center"/>
    </xf>
    <xf numFmtId="2" fontId="10" fillId="0" borderId="2" xfId="0" applyNumberFormat="1" applyFont="1" applyBorder="1"/>
    <xf numFmtId="2" fontId="10" fillId="0" borderId="20" xfId="0" applyNumberFormat="1" applyFont="1" applyBorder="1" applyAlignment="1">
      <alignment horizontal="center"/>
    </xf>
    <xf numFmtId="2" fontId="10" fillId="0" borderId="31" xfId="0" applyNumberFormat="1" applyFont="1" applyBorder="1" applyAlignment="1">
      <alignment horizontal="center"/>
    </xf>
    <xf numFmtId="2" fontId="10" fillId="0" borderId="32" xfId="0" applyNumberFormat="1" applyFont="1" applyBorder="1" applyAlignment="1">
      <alignment horizontal="center"/>
    </xf>
    <xf numFmtId="0" fontId="18" fillId="13" borderId="1" xfId="0" applyFont="1" applyFill="1" applyBorder="1" applyAlignment="1">
      <alignment horizontal="center" vertical="center" wrapText="1"/>
    </xf>
    <xf numFmtId="49" fontId="18" fillId="13" borderId="1" xfId="0" applyNumberFormat="1" applyFont="1" applyFill="1" applyBorder="1" applyAlignment="1">
      <alignment horizontal="left" vertical="center" wrapText="1"/>
    </xf>
    <xf numFmtId="0" fontId="15" fillId="13" borderId="1" xfId="0" applyFont="1" applyFill="1" applyBorder="1" applyAlignment="1">
      <alignment vertical="center" wrapText="1"/>
    </xf>
    <xf numFmtId="165" fontId="15" fillId="13" borderId="1" xfId="0" applyNumberFormat="1" applyFont="1" applyFill="1" applyBorder="1" applyAlignment="1">
      <alignment horizontal="center" vertical="center" wrapText="1"/>
    </xf>
    <xf numFmtId="0" fontId="18" fillId="12" borderId="1" xfId="0" applyFont="1" applyFill="1" applyBorder="1" applyAlignment="1">
      <alignment horizontal="left" vertical="center" wrapText="1"/>
    </xf>
    <xf numFmtId="4" fontId="8" fillId="0" borderId="2" xfId="0" applyNumberFormat="1" applyFont="1" applyBorder="1" applyAlignment="1">
      <alignment horizontal="right" vertical="center"/>
    </xf>
    <xf numFmtId="0" fontId="8" fillId="2" borderId="2" xfId="0" applyFont="1" applyFill="1" applyBorder="1" applyAlignment="1">
      <alignment horizontal="left" vertical="center" wrapText="1"/>
    </xf>
    <xf numFmtId="165" fontId="8" fillId="0" borderId="2" xfId="0" applyNumberFormat="1" applyFont="1" applyBorder="1" applyAlignment="1">
      <alignment vertical="center"/>
    </xf>
    <xf numFmtId="8" fontId="8" fillId="0" borderId="2" xfId="0" applyNumberFormat="1" applyFont="1" applyBorder="1" applyAlignment="1">
      <alignment horizontal="right" vertical="center"/>
    </xf>
    <xf numFmtId="165" fontId="8" fillId="0" borderId="2" xfId="0" applyNumberFormat="1" applyFont="1" applyBorder="1" applyAlignment="1">
      <alignment horizontal="right" vertical="center" wrapText="1"/>
    </xf>
    <xf numFmtId="0" fontId="8" fillId="0" borderId="2" xfId="0" applyFont="1" applyBorder="1" applyAlignment="1">
      <alignment horizontal="left" wrapText="1"/>
    </xf>
    <xf numFmtId="8" fontId="8" fillId="0" borderId="2" xfId="0" applyNumberFormat="1" applyFont="1" applyBorder="1" applyAlignment="1">
      <alignment vertical="center"/>
    </xf>
    <xf numFmtId="0" fontId="8" fillId="0" borderId="3" xfId="0" applyFont="1" applyBorder="1" applyAlignment="1">
      <alignment horizontal="left" vertical="center" wrapText="1"/>
    </xf>
    <xf numFmtId="0" fontId="8" fillId="0" borderId="15" xfId="0" applyFont="1" applyBorder="1" applyAlignment="1">
      <alignment vertical="center" wrapText="1"/>
    </xf>
    <xf numFmtId="0" fontId="8" fillId="0" borderId="0" xfId="0" applyFont="1" applyAlignment="1">
      <alignment horizontal="left"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165" fontId="8" fillId="2" borderId="2" xfId="4" applyNumberFormat="1" applyFont="1" applyFill="1" applyBorder="1" applyAlignment="1">
      <alignment horizontal="right" vertical="center" wrapText="1"/>
    </xf>
    <xf numFmtId="49" fontId="18" fillId="0" borderId="1" xfId="0" applyNumberFormat="1" applyFont="1" applyBorder="1" applyAlignment="1">
      <alignment vertical="center" wrapText="1"/>
    </xf>
    <xf numFmtId="0" fontId="15" fillId="0" borderId="1" xfId="0" applyFont="1" applyBorder="1" applyAlignment="1">
      <alignment vertical="center"/>
    </xf>
    <xf numFmtId="166" fontId="8" fillId="0" borderId="1" xfId="0" applyNumberFormat="1" applyFont="1" applyBorder="1" applyAlignment="1">
      <alignment horizontal="right"/>
    </xf>
    <xf numFmtId="166" fontId="34" fillId="0" borderId="1" xfId="0" applyNumberFormat="1" applyFont="1" applyBorder="1" applyAlignment="1">
      <alignment horizontal="right" wrapText="1" readingOrder="1"/>
    </xf>
    <xf numFmtId="0" fontId="18" fillId="9" borderId="1" xfId="0" applyFont="1" applyFill="1" applyBorder="1" applyAlignment="1">
      <alignment vertical="center" wrapText="1"/>
    </xf>
    <xf numFmtId="0" fontId="15" fillId="13" borderId="1" xfId="0" applyFont="1" applyFill="1" applyBorder="1" applyAlignment="1">
      <alignment horizontal="center" vertical="center" wrapText="1"/>
    </xf>
    <xf numFmtId="49" fontId="18" fillId="8" borderId="1" xfId="0" applyNumberFormat="1" applyFont="1" applyFill="1" applyBorder="1" applyAlignment="1">
      <alignment horizontal="left" vertical="center"/>
    </xf>
    <xf numFmtId="49" fontId="18" fillId="12" borderId="1" xfId="0" applyNumberFormat="1" applyFont="1" applyFill="1" applyBorder="1" applyAlignment="1">
      <alignment horizontal="left" vertical="center" wrapText="1"/>
    </xf>
    <xf numFmtId="165" fontId="21" fillId="4" borderId="1" xfId="0" applyNumberFormat="1" applyFont="1" applyFill="1" applyBorder="1" applyAlignment="1">
      <alignment horizontal="center" vertical="center" wrapText="1"/>
    </xf>
    <xf numFmtId="0" fontId="32" fillId="4" borderId="1" xfId="0" applyFont="1" applyFill="1" applyBorder="1" applyAlignment="1">
      <alignment horizontal="center" vertical="center"/>
    </xf>
    <xf numFmtId="0" fontId="32" fillId="4" borderId="1" xfId="0" applyFont="1" applyFill="1" applyBorder="1" applyAlignment="1">
      <alignment horizontal="center" vertical="center" wrapText="1"/>
    </xf>
    <xf numFmtId="49" fontId="32" fillId="4" borderId="1" xfId="0" applyNumberFormat="1" applyFont="1" applyFill="1" applyBorder="1" applyAlignment="1">
      <alignment horizontal="center" vertical="center" wrapText="1"/>
    </xf>
    <xf numFmtId="0" fontId="32" fillId="4" borderId="1" xfId="0" applyFont="1" applyFill="1" applyBorder="1" applyAlignment="1">
      <alignment horizontal="left" vertical="center" wrapText="1"/>
    </xf>
    <xf numFmtId="0" fontId="21" fillId="4" borderId="1" xfId="0" applyFont="1" applyFill="1" applyBorder="1" applyAlignment="1">
      <alignment vertical="center" wrapText="1"/>
    </xf>
    <xf numFmtId="0" fontId="22" fillId="4" borderId="1" xfId="0" applyFont="1" applyFill="1" applyBorder="1" applyAlignment="1">
      <alignment horizontal="center" vertical="center"/>
    </xf>
    <xf numFmtId="165" fontId="21" fillId="4" borderId="1" xfId="0" applyNumberFormat="1" applyFont="1" applyFill="1" applyBorder="1" applyAlignment="1">
      <alignment horizontal="center" vertical="center"/>
    </xf>
    <xf numFmtId="49" fontId="18" fillId="2" borderId="1" xfId="0" applyNumberFormat="1" applyFont="1" applyFill="1" applyBorder="1" applyAlignment="1">
      <alignment horizontal="left" vertical="center" wrapText="1"/>
    </xf>
    <xf numFmtId="0" fontId="15" fillId="2" borderId="0" xfId="0" applyFont="1" applyFill="1" applyAlignment="1">
      <alignment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center" vertical="center" wrapText="1"/>
    </xf>
    <xf numFmtId="165" fontId="15" fillId="2" borderId="1" xfId="0" applyNumberFormat="1" applyFont="1" applyFill="1" applyBorder="1" applyAlignment="1">
      <alignment horizontal="center" vertical="center" wrapText="1"/>
    </xf>
    <xf numFmtId="165" fontId="10" fillId="0" borderId="27" xfId="0" applyNumberFormat="1" applyFont="1" applyBorder="1"/>
    <xf numFmtId="0" fontId="18" fillId="14" borderId="1" xfId="0" applyFont="1" applyFill="1" applyBorder="1" applyAlignment="1">
      <alignment horizontal="center" vertical="center" wrapText="1"/>
    </xf>
    <xf numFmtId="49" fontId="18" fillId="14" borderId="1" xfId="0" applyNumberFormat="1" applyFont="1" applyFill="1" applyBorder="1" applyAlignment="1">
      <alignment horizontal="left" vertical="center" wrapText="1"/>
    </xf>
    <xf numFmtId="0" fontId="18" fillId="14" borderId="1" xfId="0" applyFont="1" applyFill="1" applyBorder="1" applyAlignment="1">
      <alignment vertical="center" wrapText="1"/>
    </xf>
    <xf numFmtId="0" fontId="15" fillId="14" borderId="1" xfId="0" applyFont="1" applyFill="1" applyBorder="1" applyAlignment="1">
      <alignment vertical="center" wrapText="1"/>
    </xf>
    <xf numFmtId="0" fontId="20" fillId="14" borderId="1" xfId="0" applyFont="1" applyFill="1" applyBorder="1" applyAlignment="1">
      <alignment horizontal="center" vertical="center" wrapText="1"/>
    </xf>
    <xf numFmtId="14" fontId="1" fillId="14" borderId="1" xfId="0" applyNumberFormat="1" applyFont="1" applyFill="1" applyBorder="1" applyAlignment="1">
      <alignment horizontal="center" vertical="center" wrapText="1"/>
    </xf>
    <xf numFmtId="165" fontId="15" fillId="14" borderId="1" xfId="0" applyNumberFormat="1" applyFont="1" applyFill="1" applyBorder="1" applyAlignment="1">
      <alignment horizontal="center" vertical="center" wrapText="1"/>
    </xf>
    <xf numFmtId="165" fontId="15" fillId="14" borderId="9" xfId="0" applyNumberFormat="1" applyFont="1" applyFill="1" applyBorder="1" applyAlignment="1">
      <alignment horizontal="center" vertical="center"/>
    </xf>
    <xf numFmtId="0" fontId="2" fillId="14" borderId="1" xfId="0" applyFont="1" applyFill="1" applyBorder="1" applyAlignment="1">
      <alignment vertical="center" wrapText="1"/>
    </xf>
    <xf numFmtId="0" fontId="8" fillId="0" borderId="16" xfId="0" applyFont="1" applyBorder="1" applyAlignment="1">
      <alignment horizontal="left" vertical="center" wrapText="1"/>
    </xf>
    <xf numFmtId="165" fontId="8" fillId="0" borderId="6" xfId="0" applyNumberFormat="1" applyFont="1" applyBorder="1"/>
    <xf numFmtId="0" fontId="15" fillId="12" borderId="1" xfId="0" applyFont="1" applyFill="1" applyBorder="1" applyAlignment="1">
      <alignment horizontal="center" vertical="center" wrapText="1"/>
    </xf>
    <xf numFmtId="0" fontId="18" fillId="0" borderId="9" xfId="0" applyFont="1" applyBorder="1" applyAlignment="1">
      <alignment horizontal="center" vertical="center" wrapText="1"/>
    </xf>
    <xf numFmtId="0" fontId="21" fillId="2" borderId="1" xfId="0" applyFont="1" applyFill="1" applyBorder="1" applyAlignment="1">
      <alignment horizontal="center" vertical="center" wrapText="1"/>
    </xf>
    <xf numFmtId="0" fontId="18" fillId="8" borderId="1" xfId="0" applyFont="1" applyFill="1" applyBorder="1" applyAlignment="1">
      <alignment horizontal="left" vertical="center" wrapText="1"/>
    </xf>
    <xf numFmtId="165" fontId="15" fillId="8" borderId="1" xfId="0" applyNumberFormat="1" applyFont="1" applyFill="1" applyBorder="1" applyAlignment="1">
      <alignment horizontal="center" vertical="center" wrapText="1"/>
    </xf>
    <xf numFmtId="165" fontId="15" fillId="8" borderId="9" xfId="4" applyNumberFormat="1" applyFont="1" applyFill="1" applyBorder="1" applyAlignment="1">
      <alignment horizontal="center" vertical="center" wrapText="1"/>
    </xf>
    <xf numFmtId="0" fontId="21" fillId="8" borderId="1"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38" fillId="8" borderId="1" xfId="5" applyFont="1" applyFill="1" applyBorder="1" applyAlignment="1">
      <alignment vertical="center" wrapText="1"/>
    </xf>
    <xf numFmtId="0" fontId="8" fillId="0" borderId="16" xfId="0" applyFont="1" applyBorder="1" applyAlignment="1">
      <alignment horizontal="left" vertical="center"/>
    </xf>
    <xf numFmtId="0" fontId="8" fillId="0" borderId="3" xfId="0" applyFont="1" applyBorder="1" applyAlignment="1">
      <alignment horizontal="left"/>
    </xf>
    <xf numFmtId="165" fontId="29" fillId="0" borderId="2" xfId="0" applyNumberFormat="1" applyFont="1" applyBorder="1" applyAlignment="1">
      <alignment horizontal="right" vertical="center" wrapText="1"/>
    </xf>
    <xf numFmtId="165" fontId="15" fillId="0" borderId="1" xfId="4" applyNumberFormat="1" applyFont="1" applyBorder="1" applyAlignment="1">
      <alignment horizontal="center" vertical="center" wrapText="1"/>
    </xf>
    <xf numFmtId="165" fontId="15" fillId="10" borderId="1" xfId="0" applyNumberFormat="1" applyFont="1" applyFill="1" applyBorder="1" applyAlignment="1">
      <alignment horizontal="center" vertical="center"/>
    </xf>
    <xf numFmtId="165" fontId="21" fillId="5" borderId="1" xfId="0" applyNumberFormat="1" applyFont="1" applyFill="1" applyBorder="1" applyAlignment="1">
      <alignment horizontal="center" vertical="center"/>
    </xf>
    <xf numFmtId="165" fontId="15" fillId="5" borderId="1" xfId="0" applyNumberFormat="1" applyFont="1" applyFill="1" applyBorder="1" applyAlignment="1">
      <alignment horizontal="center" vertical="center" wrapText="1"/>
    </xf>
    <xf numFmtId="165" fontId="15" fillId="5" borderId="9" xfId="0" applyNumberFormat="1" applyFont="1" applyFill="1" applyBorder="1" applyAlignment="1">
      <alignment horizontal="center" vertical="center"/>
    </xf>
    <xf numFmtId="43" fontId="14" fillId="5" borderId="1" xfId="2" applyFont="1" applyFill="1" applyBorder="1" applyAlignment="1">
      <alignment vertical="center" wrapText="1"/>
    </xf>
    <xf numFmtId="0" fontId="32" fillId="5" borderId="1" xfId="0" applyFont="1" applyFill="1" applyBorder="1" applyAlignment="1">
      <alignment vertical="center" wrapText="1"/>
    </xf>
    <xf numFmtId="0" fontId="32" fillId="5" borderId="1" xfId="5" applyFont="1" applyFill="1" applyBorder="1" applyAlignment="1">
      <alignment vertical="center" wrapText="1"/>
    </xf>
    <xf numFmtId="14" fontId="32" fillId="5" borderId="1" xfId="0" applyNumberFormat="1" applyFont="1" applyFill="1" applyBorder="1" applyAlignment="1">
      <alignment horizontal="center" vertical="center"/>
    </xf>
    <xf numFmtId="0" fontId="18" fillId="0" borderId="1" xfId="0" applyFont="1" applyBorder="1" applyAlignment="1">
      <alignment horizontal="left" vertical="center" wrapText="1"/>
    </xf>
    <xf numFmtId="165" fontId="2" fillId="8" borderId="1" xfId="0" applyNumberFormat="1" applyFont="1" applyFill="1" applyBorder="1" applyAlignment="1">
      <alignment horizontal="center" vertical="center" wrapText="1"/>
    </xf>
    <xf numFmtId="165" fontId="2" fillId="8" borderId="9" xfId="0" applyNumberFormat="1" applyFont="1" applyFill="1" applyBorder="1" applyAlignment="1">
      <alignment horizontal="center" vertical="center" wrapText="1"/>
    </xf>
    <xf numFmtId="0" fontId="1" fillId="8" borderId="1" xfId="0" applyFont="1" applyFill="1" applyBorder="1" applyAlignment="1">
      <alignment horizontal="center" vertical="center" wrapText="1"/>
    </xf>
    <xf numFmtId="0" fontId="40" fillId="8" borderId="1" xfId="0" applyFont="1" applyFill="1" applyBorder="1" applyAlignment="1">
      <alignment horizontal="center" vertical="center" wrapText="1"/>
    </xf>
    <xf numFmtId="0" fontId="2" fillId="8" borderId="1" xfId="0" applyFont="1" applyFill="1" applyBorder="1" applyAlignment="1">
      <alignment vertical="center" wrapText="1"/>
    </xf>
    <xf numFmtId="165" fontId="15" fillId="4" borderId="8" xfId="0" applyNumberFormat="1" applyFont="1" applyFill="1" applyBorder="1" applyAlignment="1">
      <alignment horizontal="center" vertical="center" wrapText="1"/>
    </xf>
    <xf numFmtId="165" fontId="15" fillId="4" borderId="12" xfId="0" applyNumberFormat="1" applyFont="1" applyFill="1" applyBorder="1" applyAlignment="1">
      <alignment horizontal="center" vertical="center" wrapText="1"/>
    </xf>
    <xf numFmtId="165" fontId="15" fillId="4" borderId="11" xfId="0" applyNumberFormat="1" applyFont="1" applyFill="1" applyBorder="1" applyAlignment="1">
      <alignment horizontal="center" vertical="center" wrapText="1"/>
    </xf>
    <xf numFmtId="0" fontId="39" fillId="0" borderId="1" xfId="0" applyFont="1" applyBorder="1" applyAlignment="1">
      <alignment horizontal="left" vertical="center" wrapText="1"/>
    </xf>
    <xf numFmtId="0" fontId="1" fillId="8" borderId="1" xfId="0" applyFont="1" applyFill="1" applyBorder="1" applyAlignment="1">
      <alignment vertical="center" wrapText="1"/>
    </xf>
    <xf numFmtId="0" fontId="17" fillId="0" borderId="0" xfId="0" applyFont="1" applyAlignment="1">
      <alignment vertical="center"/>
    </xf>
    <xf numFmtId="0" fontId="18" fillId="0" borderId="0" xfId="0" applyFont="1" applyAlignment="1">
      <alignment vertical="center"/>
    </xf>
    <xf numFmtId="0" fontId="9" fillId="5" borderId="1" xfId="0" applyFont="1" applyFill="1" applyBorder="1" applyAlignment="1">
      <alignment vertical="center"/>
    </xf>
    <xf numFmtId="0" fontId="22" fillId="4" borderId="1" xfId="0" applyFont="1" applyFill="1" applyBorder="1" applyAlignment="1">
      <alignment vertical="center"/>
    </xf>
    <xf numFmtId="0" fontId="18" fillId="5" borderId="1" xfId="0" applyFont="1" applyFill="1" applyBorder="1" applyAlignment="1">
      <alignment vertical="center"/>
    </xf>
    <xf numFmtId="165" fontId="18" fillId="5" borderId="1" xfId="0" applyNumberFormat="1" applyFont="1" applyFill="1" applyBorder="1" applyAlignment="1">
      <alignment vertical="center"/>
    </xf>
    <xf numFmtId="0" fontId="9" fillId="2" borderId="0" xfId="0" applyFont="1" applyFill="1" applyAlignment="1">
      <alignment vertical="center"/>
    </xf>
    <xf numFmtId="49" fontId="9" fillId="0" borderId="0" xfId="0" applyNumberFormat="1" applyFont="1" applyAlignment="1">
      <alignment vertical="center"/>
    </xf>
    <xf numFmtId="0" fontId="9" fillId="0" borderId="0" xfId="0" applyFont="1" applyAlignment="1">
      <alignment horizontal="center" vertical="center"/>
    </xf>
    <xf numFmtId="165" fontId="9" fillId="0" borderId="0" xfId="0" applyNumberFormat="1" applyFont="1" applyAlignment="1">
      <alignment vertical="center"/>
    </xf>
    <xf numFmtId="43" fontId="9" fillId="0" borderId="0" xfId="2" applyFont="1" applyAlignment="1">
      <alignment vertical="center"/>
    </xf>
    <xf numFmtId="164" fontId="9" fillId="0" borderId="0" xfId="0" applyNumberFormat="1" applyFont="1" applyAlignment="1">
      <alignment vertical="center"/>
    </xf>
    <xf numFmtId="44" fontId="9" fillId="0" borderId="0" xfId="4" applyFont="1" applyAlignment="1">
      <alignment vertical="center"/>
    </xf>
    <xf numFmtId="0" fontId="20" fillId="7" borderId="1" xfId="0" applyFont="1" applyFill="1" applyBorder="1" applyAlignment="1">
      <alignment vertical="center" wrapText="1"/>
    </xf>
    <xf numFmtId="165" fontId="21" fillId="7" borderId="1" xfId="0" applyNumberFormat="1" applyFont="1" applyFill="1" applyBorder="1" applyAlignment="1">
      <alignment horizontal="center" vertical="center" wrapText="1"/>
    </xf>
    <xf numFmtId="0" fontId="18" fillId="11" borderId="1" xfId="0" applyFont="1" applyFill="1" applyBorder="1" applyAlignment="1">
      <alignment vertical="center" wrapText="1"/>
    </xf>
    <xf numFmtId="43" fontId="15" fillId="2" borderId="1" xfId="2" applyFont="1" applyFill="1" applyBorder="1" applyAlignment="1">
      <alignment vertical="center" wrapText="1"/>
    </xf>
    <xf numFmtId="43" fontId="15" fillId="13" borderId="1" xfId="2" applyFont="1" applyFill="1" applyBorder="1" applyAlignment="1">
      <alignment vertical="center" wrapText="1"/>
    </xf>
    <xf numFmtId="49" fontId="32" fillId="5" borderId="1" xfId="0" applyNumberFormat="1" applyFont="1" applyFill="1" applyBorder="1" applyAlignment="1">
      <alignment horizontal="center" vertical="center" wrapText="1"/>
    </xf>
    <xf numFmtId="0" fontId="32" fillId="5" borderId="1" xfId="0" applyFont="1" applyFill="1" applyBorder="1" applyAlignment="1">
      <alignment horizontal="left" vertical="center" wrapText="1"/>
    </xf>
    <xf numFmtId="165" fontId="21" fillId="5" borderId="1" xfId="0" applyNumberFormat="1" applyFont="1" applyFill="1" applyBorder="1" applyAlignment="1">
      <alignment horizontal="center" vertical="center" wrapText="1"/>
    </xf>
    <xf numFmtId="43" fontId="33" fillId="5" borderId="1" xfId="2" applyFont="1" applyFill="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8" fillId="0" borderId="33" xfId="0" applyFont="1" applyBorder="1" applyAlignment="1">
      <alignment horizontal="left" vertical="center" wrapText="1"/>
    </xf>
    <xf numFmtId="0" fontId="8" fillId="0" borderId="5" xfId="0" applyFont="1" applyBorder="1" applyAlignment="1">
      <alignment horizontal="left" vertical="center" wrapText="1"/>
    </xf>
    <xf numFmtId="0" fontId="15" fillId="4" borderId="1" xfId="0" applyFont="1" applyFill="1" applyBorder="1" applyAlignment="1">
      <alignment horizontal="center" vertical="center"/>
    </xf>
    <xf numFmtId="0" fontId="18" fillId="7" borderId="1" xfId="0" applyFont="1" applyFill="1" applyBorder="1" applyAlignment="1">
      <alignment horizontal="center" vertical="center"/>
    </xf>
    <xf numFmtId="0" fontId="15" fillId="7" borderId="1" xfId="0" applyFont="1" applyFill="1" applyBorder="1" applyAlignment="1">
      <alignment vertical="center"/>
    </xf>
    <xf numFmtId="165" fontId="15" fillId="7" borderId="1" xfId="0" applyNumberFormat="1" applyFont="1" applyFill="1" applyBorder="1" applyAlignment="1">
      <alignment horizontal="center" vertical="center"/>
    </xf>
    <xf numFmtId="0" fontId="32" fillId="5" borderId="1" xfId="0" applyFont="1" applyFill="1" applyBorder="1" applyAlignment="1">
      <alignment vertical="center"/>
    </xf>
    <xf numFmtId="43" fontId="15" fillId="10" borderId="9" xfId="2" applyFont="1" applyFill="1" applyBorder="1" applyAlignment="1">
      <alignment vertical="center" wrapText="1"/>
    </xf>
    <xf numFmtId="43" fontId="15" fillId="14" borderId="9" xfId="2" applyFont="1" applyFill="1" applyBorder="1" applyAlignment="1">
      <alignment vertical="center" wrapText="1"/>
    </xf>
    <xf numFmtId="43" fontId="15" fillId="9" borderId="9" xfId="2" applyFont="1" applyFill="1" applyBorder="1" applyAlignment="1">
      <alignment vertical="center" wrapText="1"/>
    </xf>
    <xf numFmtId="43" fontId="14" fillId="7" borderId="9" xfId="2" applyFont="1" applyFill="1" applyBorder="1" applyAlignment="1">
      <alignment vertical="center" wrapText="1"/>
    </xf>
    <xf numFmtId="43" fontId="14" fillId="2" borderId="9" xfId="2" applyFont="1" applyFill="1" applyBorder="1" applyAlignment="1">
      <alignment vertical="center" wrapText="1"/>
    </xf>
    <xf numFmtId="43" fontId="15" fillId="6" borderId="9" xfId="2" applyFont="1" applyFill="1" applyBorder="1" applyAlignment="1">
      <alignment vertical="center" wrapText="1"/>
    </xf>
    <xf numFmtId="43" fontId="14" fillId="0" borderId="9" xfId="2" applyFont="1" applyBorder="1" applyAlignment="1">
      <alignment horizontal="right" vertical="center" wrapText="1"/>
    </xf>
    <xf numFmtId="44" fontId="14" fillId="0" borderId="0" xfId="4" applyFont="1" applyAlignment="1">
      <alignment horizontal="center" vertical="center"/>
    </xf>
    <xf numFmtId="0" fontId="9" fillId="4" borderId="0" xfId="0" applyFont="1" applyFill="1" applyAlignment="1">
      <alignment horizontal="center" vertical="center"/>
    </xf>
    <xf numFmtId="0" fontId="5" fillId="8" borderId="1" xfId="0" applyFont="1" applyFill="1" applyBorder="1" applyAlignment="1">
      <alignment horizontal="center" vertical="center" wrapText="1"/>
    </xf>
    <xf numFmtId="0" fontId="41" fillId="8"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1" fillId="14" borderId="1"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9" fillId="0" borderId="0" xfId="0" applyFont="1" applyAlignment="1">
      <alignment horizontal="center" vertical="center" wrapText="1"/>
    </xf>
    <xf numFmtId="0" fontId="15" fillId="4" borderId="1" xfId="0" applyFont="1" applyFill="1" applyBorder="1" applyAlignment="1">
      <alignment horizontal="center" vertical="center" wrapText="1"/>
    </xf>
    <xf numFmtId="165" fontId="21" fillId="2" borderId="1" xfId="0" applyNumberFormat="1" applyFont="1" applyFill="1" applyBorder="1" applyAlignment="1">
      <alignment horizontal="center" vertical="center" wrapText="1"/>
    </xf>
    <xf numFmtId="165" fontId="15" fillId="2" borderId="9" xfId="0" applyNumberFormat="1" applyFont="1" applyFill="1" applyBorder="1" applyAlignment="1">
      <alignment horizontal="center" vertical="center"/>
    </xf>
    <xf numFmtId="165" fontId="15" fillId="2" borderId="1" xfId="0" applyNumberFormat="1" applyFont="1" applyFill="1" applyBorder="1" applyAlignment="1">
      <alignment horizontal="center" vertical="center"/>
    </xf>
    <xf numFmtId="165" fontId="15" fillId="2" borderId="0" xfId="0" applyNumberFormat="1" applyFont="1" applyFill="1" applyAlignment="1">
      <alignment horizontal="center" vertical="center"/>
    </xf>
    <xf numFmtId="165" fontId="9" fillId="2" borderId="0" xfId="0" applyNumberFormat="1" applyFont="1" applyFill="1" applyAlignment="1">
      <alignment vertical="center"/>
    </xf>
    <xf numFmtId="14" fontId="32" fillId="5" borderId="1" xfId="0" applyNumberFormat="1" applyFont="1" applyFill="1" applyBorder="1" applyAlignment="1">
      <alignment horizontal="center" vertical="center" wrapText="1"/>
    </xf>
    <xf numFmtId="0" fontId="32" fillId="5"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0" fontId="32" fillId="3" borderId="1" xfId="0" applyFont="1" applyFill="1" applyBorder="1" applyAlignment="1">
      <alignment horizontal="center" vertical="center" wrapText="1"/>
    </xf>
    <xf numFmtId="17" fontId="15" fillId="9"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164" fontId="9" fillId="0" borderId="0" xfId="0" applyNumberFormat="1" applyFont="1" applyAlignment="1">
      <alignment horizontal="center" vertical="center"/>
    </xf>
    <xf numFmtId="0" fontId="15" fillId="6" borderId="8" xfId="0" applyFont="1" applyFill="1" applyBorder="1" applyAlignment="1">
      <alignment horizontal="center" vertical="center" wrapText="1"/>
    </xf>
    <xf numFmtId="14" fontId="18" fillId="14" borderId="1" xfId="0" applyNumberFormat="1" applyFont="1" applyFill="1" applyBorder="1" applyAlignment="1">
      <alignment horizontal="center" vertical="center" wrapText="1"/>
    </xf>
    <xf numFmtId="49" fontId="18" fillId="0" borderId="1" xfId="0" applyNumberFormat="1" applyFont="1" applyBorder="1" applyAlignment="1">
      <alignment horizontal="center" vertical="center" wrapText="1"/>
    </xf>
    <xf numFmtId="165" fontId="15" fillId="14" borderId="9" xfId="0" applyNumberFormat="1" applyFont="1" applyFill="1" applyBorder="1" applyAlignment="1">
      <alignment horizontal="center" vertical="center" wrapText="1"/>
    </xf>
    <xf numFmtId="165" fontId="2" fillId="14" borderId="9" xfId="0" applyNumberFormat="1" applyFont="1" applyFill="1" applyBorder="1" applyAlignment="1">
      <alignment horizontal="center" vertical="center"/>
    </xf>
    <xf numFmtId="165" fontId="15" fillId="4" borderId="1" xfId="0" applyNumberFormat="1" applyFont="1" applyFill="1" applyBorder="1" applyAlignment="1">
      <alignment horizontal="left" vertical="center" wrapText="1"/>
    </xf>
    <xf numFmtId="165" fontId="21" fillId="4" borderId="1" xfId="0" applyNumberFormat="1" applyFont="1" applyFill="1" applyBorder="1" applyAlignment="1">
      <alignment horizontal="left" vertical="center" wrapText="1"/>
    </xf>
    <xf numFmtId="0" fontId="4" fillId="8" borderId="1" xfId="0" applyFont="1" applyFill="1" applyBorder="1" applyAlignment="1">
      <alignment vertical="center" wrapText="1"/>
    </xf>
    <xf numFmtId="165" fontId="36" fillId="8" borderId="1" xfId="0" applyNumberFormat="1" applyFont="1" applyFill="1" applyBorder="1" applyAlignment="1">
      <alignment horizontal="center" vertical="center" wrapText="1"/>
    </xf>
    <xf numFmtId="0" fontId="15" fillId="8" borderId="1" xfId="0" applyFont="1" applyFill="1" applyBorder="1" applyAlignment="1">
      <alignment horizontal="center" vertical="center"/>
    </xf>
    <xf numFmtId="17" fontId="18" fillId="8" borderId="1" xfId="0" applyNumberFormat="1" applyFont="1" applyFill="1" applyBorder="1" applyAlignment="1">
      <alignment horizontal="center" vertical="center" wrapText="1"/>
    </xf>
    <xf numFmtId="0" fontId="11" fillId="0" borderId="1" xfId="0" applyFont="1" applyBorder="1" applyAlignment="1">
      <alignment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xf>
    <xf numFmtId="0" fontId="11" fillId="2" borderId="1" xfId="0" applyFont="1" applyFill="1" applyBorder="1" applyAlignment="1">
      <alignment vertical="center"/>
    </xf>
    <xf numFmtId="0" fontId="11" fillId="0" borderId="0" xfId="0" applyFont="1" applyAlignment="1">
      <alignment vertical="center" wrapText="1"/>
    </xf>
    <xf numFmtId="165" fontId="35" fillId="8" borderId="9" xfId="0" applyNumberFormat="1" applyFont="1" applyFill="1" applyBorder="1" applyAlignment="1">
      <alignment horizontal="center" vertical="center" wrapText="1"/>
    </xf>
    <xf numFmtId="14" fontId="36" fillId="10" borderId="1" xfId="0" applyNumberFormat="1" applyFont="1" applyFill="1" applyBorder="1" applyAlignment="1">
      <alignment vertical="center"/>
    </xf>
    <xf numFmtId="165" fontId="36" fillId="10" borderId="1" xfId="0" applyNumberFormat="1" applyFont="1" applyFill="1" applyBorder="1" applyAlignment="1">
      <alignment horizontal="center" vertical="center"/>
    </xf>
    <xf numFmtId="165" fontId="36" fillId="10" borderId="9" xfId="0" applyNumberFormat="1" applyFont="1" applyFill="1" applyBorder="1" applyAlignment="1">
      <alignment horizontal="center" vertical="center"/>
    </xf>
    <xf numFmtId="165" fontId="18" fillId="5" borderId="9" xfId="0" applyNumberFormat="1" applyFont="1" applyFill="1" applyBorder="1" applyAlignment="1">
      <alignment horizontal="center" vertical="center" wrapText="1"/>
    </xf>
    <xf numFmtId="165" fontId="8" fillId="0" borderId="7" xfId="0" applyNumberFormat="1" applyFont="1" applyBorder="1" applyAlignment="1">
      <alignment vertical="center"/>
    </xf>
    <xf numFmtId="8" fontId="8" fillId="0" borderId="7" xfId="0" applyNumberFormat="1" applyFont="1" applyBorder="1" applyAlignment="1">
      <alignment horizontal="right" vertical="center"/>
    </xf>
    <xf numFmtId="0" fontId="8" fillId="0" borderId="34" xfId="0" applyFont="1" applyBorder="1" applyAlignment="1">
      <alignment vertical="center" wrapText="1"/>
    </xf>
    <xf numFmtId="14" fontId="35" fillId="14" borderId="1" xfId="0" applyNumberFormat="1" applyFont="1" applyFill="1" applyBorder="1" applyAlignment="1">
      <alignment horizontal="center" vertical="center" wrapText="1"/>
    </xf>
    <xf numFmtId="0" fontId="15" fillId="10" borderId="9" xfId="0" applyFont="1" applyFill="1" applyBorder="1" applyAlignment="1">
      <alignment horizontal="center" vertical="center" wrapText="1"/>
    </xf>
    <xf numFmtId="0" fontId="15" fillId="12" borderId="1" xfId="0" applyFont="1" applyFill="1" applyBorder="1" applyAlignment="1">
      <alignment vertical="center" wrapText="1"/>
    </xf>
    <xf numFmtId="165" fontId="21" fillId="8" borderId="9" xfId="0" applyNumberFormat="1" applyFont="1" applyFill="1" applyBorder="1" applyAlignment="1">
      <alignment horizontal="center" vertical="center"/>
    </xf>
    <xf numFmtId="0" fontId="37" fillId="10" borderId="1" xfId="5" applyFill="1" applyBorder="1" applyAlignment="1">
      <alignment vertical="center" wrapText="1"/>
    </xf>
    <xf numFmtId="0" fontId="45" fillId="2" borderId="1" xfId="0" applyFont="1" applyFill="1" applyBorder="1" applyAlignment="1">
      <alignment horizontal="center" vertical="center" wrapText="1"/>
    </xf>
    <xf numFmtId="165" fontId="15" fillId="8" borderId="9" xfId="0" applyNumberFormat="1" applyFont="1" applyFill="1" applyBorder="1" applyAlignment="1">
      <alignment horizontal="left" vertical="center" wrapText="1"/>
    </xf>
    <xf numFmtId="0" fontId="21" fillId="2" borderId="1" xfId="0" applyFont="1" applyFill="1" applyBorder="1" applyAlignment="1">
      <alignment horizontal="left" vertical="top" wrapText="1"/>
    </xf>
    <xf numFmtId="0" fontId="15" fillId="0" borderId="1" xfId="0" applyFont="1" applyBorder="1" applyAlignment="1">
      <alignment horizontal="center" vertical="center" wrapText="1"/>
    </xf>
    <xf numFmtId="0" fontId="32" fillId="0" borderId="1" xfId="0" applyFont="1" applyBorder="1" applyAlignment="1">
      <alignment horizontal="left" vertical="center" wrapText="1"/>
    </xf>
    <xf numFmtId="14" fontId="32" fillId="0" borderId="1" xfId="0" applyNumberFormat="1" applyFont="1" applyBorder="1" applyAlignment="1">
      <alignment horizontal="center" vertical="center" wrapText="1"/>
    </xf>
    <xf numFmtId="165" fontId="21" fillId="0" borderId="0" xfId="4" applyNumberFormat="1" applyFont="1" applyAlignment="1">
      <alignment horizontal="center" vertical="center" wrapText="1"/>
    </xf>
    <xf numFmtId="0" fontId="32" fillId="2" borderId="1" xfId="0" applyFont="1" applyFill="1" applyBorder="1" applyAlignment="1">
      <alignment horizontal="center" vertical="center" wrapText="1"/>
    </xf>
    <xf numFmtId="49" fontId="32" fillId="2" borderId="1" xfId="0" applyNumberFormat="1" applyFont="1" applyFill="1" applyBorder="1" applyAlignment="1">
      <alignment horizontal="left" vertical="center" wrapText="1"/>
    </xf>
    <xf numFmtId="0" fontId="32" fillId="0" borderId="1" xfId="0" applyFont="1" applyBorder="1" applyAlignment="1">
      <alignment vertical="center" wrapText="1"/>
    </xf>
    <xf numFmtId="15" fontId="21" fillId="2" borderId="1" xfId="0" applyNumberFormat="1" applyFont="1" applyFill="1" applyBorder="1" applyAlignment="1">
      <alignment horizontal="center" vertical="center" wrapText="1"/>
    </xf>
    <xf numFmtId="165" fontId="21" fillId="0" borderId="1" xfId="0" applyNumberFormat="1" applyFont="1" applyBorder="1" applyAlignment="1">
      <alignment horizontal="center" vertical="center"/>
    </xf>
    <xf numFmtId="10" fontId="23" fillId="2" borderId="1" xfId="2" applyNumberFormat="1" applyFont="1" applyFill="1" applyBorder="1" applyAlignment="1">
      <alignment vertical="center" wrapText="1"/>
    </xf>
    <xf numFmtId="166" fontId="21" fillId="2" borderId="1" xfId="0" applyNumberFormat="1" applyFont="1" applyFill="1" applyBorder="1" applyAlignment="1">
      <alignment horizontal="center" vertical="center" wrapText="1"/>
    </xf>
    <xf numFmtId="43" fontId="23" fillId="2" borderId="1" xfId="2" applyFont="1" applyFill="1" applyBorder="1" applyAlignment="1">
      <alignment vertical="center" wrapText="1"/>
    </xf>
    <xf numFmtId="0" fontId="46" fillId="0" borderId="1" xfId="0" applyFont="1" applyBorder="1" applyAlignment="1">
      <alignment vertical="center"/>
    </xf>
    <xf numFmtId="0" fontId="32" fillId="0" borderId="1" xfId="0" applyFont="1" applyBorder="1" applyAlignment="1">
      <alignment horizontal="left" vertical="top" wrapText="1"/>
    </xf>
    <xf numFmtId="0" fontId="20" fillId="0" borderId="1" xfId="0" applyFont="1" applyBorder="1" applyAlignment="1">
      <alignment horizontal="center" vertical="center" wrapText="1"/>
    </xf>
    <xf numFmtId="0" fontId="21" fillId="0" borderId="11" xfId="0" applyFont="1" applyBorder="1" applyAlignment="1">
      <alignment horizontal="left" vertical="center" wrapText="1"/>
    </xf>
    <xf numFmtId="165" fontId="15" fillId="0" borderId="11" xfId="0" applyNumberFormat="1" applyFont="1" applyBorder="1" applyAlignment="1">
      <alignment horizontal="center" vertical="center" wrapText="1"/>
    </xf>
    <xf numFmtId="43" fontId="15" fillId="0" borderId="9" xfId="2" applyFont="1" applyFill="1" applyBorder="1" applyAlignment="1">
      <alignment vertical="center" wrapText="1"/>
    </xf>
    <xf numFmtId="0" fontId="15" fillId="0" borderId="8" xfId="0" applyFont="1" applyBorder="1" applyAlignment="1">
      <alignment horizontal="center" vertical="center" wrapText="1"/>
    </xf>
    <xf numFmtId="0" fontId="37" fillId="0" borderId="0" xfId="5" applyFill="1" applyAlignment="1">
      <alignment vertical="center" wrapText="1"/>
    </xf>
    <xf numFmtId="165" fontId="18" fillId="0" borderId="1" xfId="0" applyNumberFormat="1" applyFont="1" applyBorder="1" applyAlignment="1">
      <alignment horizontal="center" vertical="center" wrapText="1"/>
    </xf>
    <xf numFmtId="0" fontId="14" fillId="10" borderId="1" xfId="0" applyFont="1" applyFill="1" applyBorder="1" applyAlignment="1">
      <alignment horizontal="center" vertical="center" wrapText="1"/>
    </xf>
    <xf numFmtId="17" fontId="15" fillId="10" borderId="1" xfId="0" applyNumberFormat="1" applyFont="1" applyFill="1" applyBorder="1" applyAlignment="1">
      <alignment horizontal="center" vertical="center" wrapText="1"/>
    </xf>
    <xf numFmtId="0" fontId="17" fillId="2" borderId="0" xfId="0" applyFont="1" applyFill="1" applyAlignment="1">
      <alignment vertical="center"/>
    </xf>
    <xf numFmtId="15" fontId="15" fillId="2" borderId="1" xfId="0" applyNumberFormat="1" applyFont="1" applyFill="1" applyBorder="1" applyAlignment="1">
      <alignment horizontal="center" vertical="center" wrapText="1"/>
    </xf>
    <xf numFmtId="0" fontId="21" fillId="2" borderId="1" xfId="0" applyFont="1" applyFill="1" applyBorder="1" applyAlignment="1">
      <alignment horizontal="left" vertical="center" wrapText="1"/>
    </xf>
    <xf numFmtId="15" fontId="21" fillId="2" borderId="1" xfId="0" applyNumberFormat="1" applyFont="1" applyFill="1" applyBorder="1" applyAlignment="1">
      <alignment horizontal="left" vertical="center" wrapText="1"/>
    </xf>
    <xf numFmtId="0" fontId="49" fillId="0" borderId="1" xfId="0" applyFont="1" applyBorder="1" applyAlignment="1">
      <alignment vertical="center" wrapText="1"/>
    </xf>
    <xf numFmtId="165" fontId="20" fillId="0" borderId="1" xfId="0" applyNumberFormat="1" applyFont="1" applyBorder="1" applyAlignment="1">
      <alignment horizontal="center" vertical="center" wrapText="1"/>
    </xf>
    <xf numFmtId="165" fontId="21" fillId="8" borderId="1" xfId="0" applyNumberFormat="1" applyFont="1" applyFill="1" applyBorder="1" applyAlignment="1">
      <alignment horizontal="left" vertical="center" wrapText="1"/>
    </xf>
    <xf numFmtId="0" fontId="15" fillId="10" borderId="1" xfId="0" applyFont="1" applyFill="1" applyBorder="1" applyAlignment="1">
      <alignment horizontal="left" vertical="center" wrapText="1"/>
    </xf>
    <xf numFmtId="0" fontId="52" fillId="0" borderId="1" xfId="0" applyFont="1" applyBorder="1" applyAlignment="1">
      <alignment vertical="center" wrapText="1"/>
    </xf>
    <xf numFmtId="165" fontId="51" fillId="0" borderId="1" xfId="0" applyNumberFormat="1" applyFont="1" applyBorder="1" applyAlignment="1">
      <alignment horizontal="center" vertical="center" wrapText="1"/>
    </xf>
    <xf numFmtId="165" fontId="51" fillId="0" borderId="9" xfId="0" applyNumberFormat="1" applyFont="1" applyBorder="1" applyAlignment="1">
      <alignment horizontal="center" vertical="center" wrapText="1"/>
    </xf>
    <xf numFmtId="0" fontId="51" fillId="0" borderId="1" xfId="0" applyFont="1" applyBorder="1" applyAlignment="1">
      <alignment horizontal="center" vertical="center" wrapText="1"/>
    </xf>
    <xf numFmtId="0" fontId="51" fillId="0" borderId="1" xfId="0" applyFont="1" applyBorder="1" applyAlignment="1">
      <alignment vertical="center" wrapText="1"/>
    </xf>
    <xf numFmtId="165" fontId="18" fillId="4" borderId="1" xfId="0" applyNumberFormat="1" applyFont="1" applyFill="1" applyBorder="1" applyAlignment="1">
      <alignment horizontal="center" vertical="center" wrapText="1"/>
    </xf>
    <xf numFmtId="0" fontId="32" fillId="6" borderId="1" xfId="0" applyFont="1" applyFill="1" applyBorder="1" applyAlignment="1">
      <alignment horizontal="center" vertical="center" wrapText="1"/>
    </xf>
    <xf numFmtId="0" fontId="42" fillId="6" borderId="1" xfId="0" applyFont="1" applyFill="1" applyBorder="1" applyAlignment="1">
      <alignment vertical="top" wrapText="1"/>
    </xf>
    <xf numFmtId="0" fontId="42" fillId="6" borderId="1" xfId="0" applyFont="1" applyFill="1" applyBorder="1" applyAlignment="1">
      <alignment vertical="center" wrapText="1"/>
    </xf>
    <xf numFmtId="0" fontId="41" fillId="14" borderId="1" xfId="0" applyFont="1" applyFill="1" applyBorder="1" applyAlignment="1">
      <alignment vertical="center" wrapText="1"/>
    </xf>
    <xf numFmtId="166" fontId="15" fillId="0" borderId="0" xfId="0" applyNumberFormat="1" applyFont="1" applyAlignment="1">
      <alignment horizontal="center" vertical="center" wrapText="1"/>
    </xf>
    <xf numFmtId="166" fontId="15"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0" fontId="18" fillId="4" borderId="8" xfId="0" applyFont="1" applyFill="1" applyBorder="1" applyAlignment="1">
      <alignment horizontal="center" vertical="center" wrapText="1"/>
    </xf>
    <xf numFmtId="49" fontId="32" fillId="0" borderId="1" xfId="0" applyNumberFormat="1" applyFont="1" applyBorder="1" applyAlignment="1">
      <alignment horizontal="center" vertical="center" wrapText="1"/>
    </xf>
    <xf numFmtId="0" fontId="46" fillId="0" borderId="1" xfId="0" applyFont="1" applyBorder="1" applyAlignment="1">
      <alignment vertical="center" wrapText="1"/>
    </xf>
    <xf numFmtId="0" fontId="32" fillId="4" borderId="1" xfId="0" applyFont="1" applyFill="1" applyBorder="1" applyAlignment="1">
      <alignment vertical="center" wrapText="1"/>
    </xf>
    <xf numFmtId="0" fontId="46" fillId="2" borderId="1" xfId="0" applyFont="1" applyFill="1" applyBorder="1" applyAlignment="1">
      <alignment vertical="center" wrapText="1"/>
    </xf>
    <xf numFmtId="0" fontId="11" fillId="4" borderId="1" xfId="0" applyFont="1" applyFill="1" applyBorder="1" applyAlignment="1">
      <alignment vertical="center"/>
    </xf>
    <xf numFmtId="0" fontId="21" fillId="4" borderId="1" xfId="0" applyFont="1" applyFill="1" applyBorder="1" applyAlignment="1">
      <alignment vertical="center"/>
    </xf>
    <xf numFmtId="165" fontId="21" fillId="0" borderId="1" xfId="0" applyNumberFormat="1" applyFont="1" applyBorder="1" applyAlignment="1">
      <alignment horizontal="center" vertical="center" wrapText="1"/>
    </xf>
    <xf numFmtId="14" fontId="18" fillId="10" borderId="1" xfId="0" applyNumberFormat="1" applyFont="1" applyFill="1" applyBorder="1" applyAlignment="1">
      <alignment horizontal="center" vertical="center" wrapText="1"/>
    </xf>
    <xf numFmtId="0" fontId="29" fillId="2" borderId="1" xfId="0" applyFont="1" applyFill="1" applyBorder="1" applyAlignment="1">
      <alignment vertical="center" wrapText="1"/>
    </xf>
    <xf numFmtId="0" fontId="21" fillId="2" borderId="1" xfId="0" applyFont="1" applyFill="1" applyBorder="1" applyAlignment="1">
      <alignment vertical="center" wrapText="1"/>
    </xf>
    <xf numFmtId="0" fontId="18" fillId="2" borderId="1" xfId="0" applyFont="1" applyFill="1" applyBorder="1" applyAlignment="1">
      <alignment vertical="center" wrapText="1"/>
    </xf>
    <xf numFmtId="165" fontId="15" fillId="10" borderId="0" xfId="0" applyNumberFormat="1" applyFont="1" applyFill="1" applyAlignment="1">
      <alignment horizontal="left" vertical="center" wrapText="1"/>
    </xf>
    <xf numFmtId="165" fontId="15" fillId="10" borderId="9" xfId="0" applyNumberFormat="1" applyFont="1" applyFill="1" applyBorder="1" applyAlignment="1">
      <alignment horizontal="left" vertical="center" wrapText="1"/>
    </xf>
    <xf numFmtId="0" fontId="15" fillId="7" borderId="1" xfId="0" quotePrefix="1" applyFont="1" applyFill="1" applyBorder="1" applyAlignment="1">
      <alignment vertical="center" wrapText="1"/>
    </xf>
    <xf numFmtId="14" fontId="15" fillId="7" borderId="1" xfId="0" applyNumberFormat="1" applyFont="1" applyFill="1" applyBorder="1" applyAlignment="1">
      <alignment vertical="center" wrapText="1"/>
    </xf>
    <xf numFmtId="14" fontId="15" fillId="6" borderId="1" xfId="0" applyNumberFormat="1" applyFont="1" applyFill="1" applyBorder="1" applyAlignment="1">
      <alignment vertical="center" wrapText="1"/>
    </xf>
    <xf numFmtId="0" fontId="11" fillId="6" borderId="1" xfId="0" applyFont="1" applyFill="1" applyBorder="1" applyAlignment="1">
      <alignment vertical="center"/>
    </xf>
    <xf numFmtId="0" fontId="8" fillId="0" borderId="5" xfId="0" applyFont="1" applyBorder="1" applyAlignment="1">
      <alignment vertical="center" wrapText="1"/>
    </xf>
    <xf numFmtId="0" fontId="56" fillId="8" borderId="1" xfId="0" applyFont="1" applyFill="1" applyBorder="1" applyAlignment="1">
      <alignment vertical="center" wrapText="1"/>
    </xf>
    <xf numFmtId="0" fontId="15" fillId="3" borderId="1" xfId="0" applyFont="1" applyFill="1" applyBorder="1" applyAlignment="1">
      <alignment horizontal="center" vertical="center" wrapText="1"/>
    </xf>
    <xf numFmtId="43" fontId="14" fillId="3" borderId="9" xfId="2" applyFont="1" applyFill="1" applyBorder="1" applyAlignment="1">
      <alignment horizontal="center" vertical="center" wrapText="1"/>
    </xf>
    <xf numFmtId="0" fontId="8" fillId="3" borderId="1" xfId="0" applyFont="1" applyFill="1" applyBorder="1" applyAlignment="1">
      <alignment vertical="center"/>
    </xf>
    <xf numFmtId="165" fontId="15" fillId="3" borderId="9" xfId="0" applyNumberFormat="1" applyFont="1" applyFill="1" applyBorder="1" applyAlignment="1">
      <alignment horizontal="center" vertical="center" wrapText="1"/>
    </xf>
    <xf numFmtId="0" fontId="14" fillId="3" borderId="1" xfId="0" applyFont="1" applyFill="1" applyBorder="1" applyAlignment="1">
      <alignment vertical="center"/>
    </xf>
    <xf numFmtId="0" fontId="8" fillId="3" borderId="1" xfId="0" applyFont="1" applyFill="1" applyBorder="1" applyAlignment="1">
      <alignment horizontal="center" vertical="center" wrapText="1"/>
    </xf>
    <xf numFmtId="0" fontId="58" fillId="0" borderId="1" xfId="0" applyFont="1" applyBorder="1" applyAlignment="1">
      <alignment horizontal="center" vertical="center" wrapText="1"/>
    </xf>
    <xf numFmtId="9" fontId="58" fillId="0" borderId="1" xfId="1" applyFont="1" applyFill="1" applyBorder="1" applyAlignment="1">
      <alignment horizontal="center" vertical="center" wrapText="1"/>
    </xf>
    <xf numFmtId="9" fontId="58" fillId="0" borderId="1" xfId="1" applyFont="1" applyFill="1" applyBorder="1" applyAlignment="1">
      <alignment vertical="center"/>
    </xf>
    <xf numFmtId="9" fontId="58" fillId="0" borderId="1" xfId="1" applyFont="1" applyFill="1" applyBorder="1" applyAlignment="1">
      <alignment horizontal="left" vertical="center" wrapText="1"/>
    </xf>
    <xf numFmtId="9" fontId="44" fillId="0" borderId="1" xfId="1" applyFont="1" applyFill="1" applyBorder="1" applyAlignment="1">
      <alignment horizontal="center" vertical="center" wrapText="1"/>
    </xf>
    <xf numFmtId="9" fontId="44" fillId="0" borderId="1" xfId="1" applyFont="1" applyFill="1" applyBorder="1" applyAlignment="1">
      <alignment horizontal="left" vertical="center" wrapText="1"/>
    </xf>
    <xf numFmtId="167" fontId="44" fillId="0" borderId="1" xfId="1" applyNumberFormat="1" applyFont="1" applyFill="1" applyBorder="1" applyAlignment="1">
      <alignment horizontal="center" vertical="center" wrapText="1"/>
    </xf>
    <xf numFmtId="168" fontId="44" fillId="0" borderId="1" xfId="1" applyNumberFormat="1" applyFont="1" applyFill="1" applyBorder="1" applyAlignment="1">
      <alignment horizontal="center" vertical="center" wrapText="1"/>
    </xf>
    <xf numFmtId="168" fontId="44" fillId="0" borderId="1" xfId="1" applyNumberFormat="1" applyFont="1" applyFill="1" applyBorder="1" applyAlignment="1">
      <alignment horizontal="center" vertical="center"/>
    </xf>
    <xf numFmtId="9" fontId="24" fillId="0" borderId="1" xfId="1" applyFont="1" applyFill="1" applyBorder="1" applyAlignment="1">
      <alignment vertical="center" wrapText="1"/>
    </xf>
    <xf numFmtId="9" fontId="44" fillId="0" borderId="1" xfId="1" applyFont="1" applyFill="1" applyBorder="1" applyAlignment="1">
      <alignment vertical="center" wrapText="1"/>
    </xf>
    <xf numFmtId="0" fontId="63" fillId="3" borderId="1" xfId="0" applyFont="1" applyFill="1" applyBorder="1" applyAlignment="1">
      <alignment vertical="center" wrapText="1"/>
    </xf>
    <xf numFmtId="165" fontId="15" fillId="3" borderId="0" xfId="0" applyNumberFormat="1" applyFont="1" applyFill="1" applyAlignment="1">
      <alignment horizontal="center" vertical="center"/>
    </xf>
    <xf numFmtId="9" fontId="15" fillId="3" borderId="1" xfId="1" applyFont="1" applyFill="1" applyBorder="1" applyAlignment="1">
      <alignment vertical="center" wrapText="1"/>
    </xf>
    <xf numFmtId="165" fontId="15" fillId="3" borderId="1" xfId="0" applyNumberFormat="1" applyFont="1" applyFill="1" applyBorder="1" applyAlignment="1">
      <alignment horizontal="center" vertical="center"/>
    </xf>
    <xf numFmtId="0" fontId="11" fillId="3" borderId="1" xfId="0" applyFont="1" applyFill="1" applyBorder="1" applyAlignment="1">
      <alignment vertical="center" wrapText="1"/>
    </xf>
    <xf numFmtId="0" fontId="18" fillId="7" borderId="1"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21" fillId="6" borderId="8" xfId="0" applyFont="1" applyFill="1" applyBorder="1" applyAlignment="1">
      <alignment vertical="center" wrapText="1"/>
    </xf>
    <xf numFmtId="0" fontId="21" fillId="6" borderId="11" xfId="0" applyFont="1" applyFill="1" applyBorder="1" applyAlignment="1">
      <alignment vertical="center" wrapText="1"/>
    </xf>
    <xf numFmtId="0" fontId="28" fillId="0" borderId="1" xfId="0" applyFont="1" applyBorder="1" applyAlignment="1">
      <alignment vertical="center" wrapText="1"/>
    </xf>
    <xf numFmtId="0" fontId="18" fillId="3" borderId="1" xfId="0" applyFont="1" applyFill="1" applyBorder="1" applyAlignment="1">
      <alignment vertical="center" wrapText="1"/>
    </xf>
    <xf numFmtId="0" fontId="10" fillId="3" borderId="1" xfId="0" applyFont="1" applyFill="1" applyBorder="1" applyAlignment="1">
      <alignment vertical="center" wrapText="1"/>
    </xf>
    <xf numFmtId="0" fontId="46" fillId="3" borderId="1" xfId="0" applyFont="1" applyFill="1" applyBorder="1" applyAlignment="1">
      <alignment vertical="center" wrapText="1"/>
    </xf>
    <xf numFmtId="0" fontId="49" fillId="3" borderId="1" xfId="0" applyFont="1" applyFill="1" applyBorder="1" applyAlignment="1">
      <alignment vertical="center"/>
    </xf>
    <xf numFmtId="165" fontId="15" fillId="5" borderId="0" xfId="0" applyNumberFormat="1" applyFont="1" applyFill="1" applyAlignment="1">
      <alignment horizontal="center" vertical="center"/>
    </xf>
    <xf numFmtId="49" fontId="32" fillId="0" borderId="1" xfId="0" applyNumberFormat="1" applyFont="1" applyBorder="1" applyAlignment="1">
      <alignment vertical="center" wrapText="1"/>
    </xf>
    <xf numFmtId="168" fontId="44" fillId="0" borderId="9" xfId="1" applyNumberFormat="1" applyFont="1" applyFill="1" applyBorder="1" applyAlignment="1">
      <alignment horizontal="center" vertical="center"/>
    </xf>
    <xf numFmtId="165" fontId="14" fillId="0" borderId="0" xfId="0" applyNumberFormat="1" applyFont="1" applyAlignment="1">
      <alignment horizontal="center"/>
    </xf>
    <xf numFmtId="165" fontId="8" fillId="0" borderId="3" xfId="0" applyNumberFormat="1" applyFont="1" applyBorder="1" applyAlignment="1">
      <alignment vertical="center"/>
    </xf>
    <xf numFmtId="8" fontId="8" fillId="0" borderId="3" xfId="0" applyNumberFormat="1" applyFont="1" applyBorder="1" applyAlignment="1">
      <alignment horizontal="right" vertical="center"/>
    </xf>
    <xf numFmtId="165" fontId="8" fillId="0" borderId="3" xfId="0" applyNumberFormat="1" applyFont="1" applyBorder="1" applyAlignment="1">
      <alignment horizontal="right" vertical="center" wrapText="1"/>
    </xf>
    <xf numFmtId="4" fontId="8" fillId="0" borderId="3" xfId="0" applyNumberFormat="1" applyFont="1" applyBorder="1" applyAlignment="1">
      <alignment horizontal="right" vertical="center"/>
    </xf>
    <xf numFmtId="8" fontId="8" fillId="0" borderId="3" xfId="0" applyNumberFormat="1" applyFont="1" applyBorder="1" applyAlignment="1">
      <alignment vertical="center"/>
    </xf>
    <xf numFmtId="165" fontId="8" fillId="2" borderId="3" xfId="4" applyNumberFormat="1" applyFont="1" applyFill="1" applyBorder="1" applyAlignment="1">
      <alignment horizontal="right" vertical="center" wrapText="1"/>
    </xf>
    <xf numFmtId="165" fontId="8" fillId="0" borderId="16" xfId="0" applyNumberFormat="1" applyFont="1" applyBorder="1"/>
    <xf numFmtId="165" fontId="29" fillId="0" borderId="3" xfId="0" applyNumberFormat="1" applyFont="1" applyBorder="1" applyAlignment="1">
      <alignment horizontal="right" vertical="center" wrapText="1"/>
    </xf>
    <xf numFmtId="165" fontId="8" fillId="0" borderId="35" xfId="0" applyNumberFormat="1" applyFont="1" applyBorder="1" applyAlignment="1">
      <alignment vertical="center"/>
    </xf>
    <xf numFmtId="165" fontId="8" fillId="0" borderId="35" xfId="0" applyNumberFormat="1" applyFont="1" applyBorder="1" applyAlignment="1">
      <alignment vertical="center" wrapText="1"/>
    </xf>
    <xf numFmtId="165" fontId="8" fillId="0" borderId="35" xfId="0" applyNumberFormat="1" applyFont="1" applyBorder="1"/>
    <xf numFmtId="165" fontId="8" fillId="2" borderId="35" xfId="4" applyNumberFormat="1" applyFont="1" applyFill="1" applyBorder="1" applyAlignment="1">
      <alignment horizontal="right" vertical="center" wrapText="1"/>
    </xf>
    <xf numFmtId="165" fontId="8" fillId="0" borderId="34" xfId="0" applyNumberFormat="1" applyFont="1" applyBorder="1" applyAlignment="1">
      <alignment vertical="center"/>
    </xf>
    <xf numFmtId="165" fontId="8" fillId="0" borderId="36" xfId="0" applyNumberFormat="1" applyFont="1" applyBorder="1" applyAlignment="1">
      <alignment vertical="center"/>
    </xf>
    <xf numFmtId="0" fontId="21" fillId="8" borderId="1" xfId="0" applyFont="1" applyFill="1" applyBorder="1" applyAlignment="1">
      <alignment horizontal="center" vertical="center"/>
    </xf>
    <xf numFmtId="165" fontId="15" fillId="11" borderId="0" xfId="0" applyNumberFormat="1" applyFont="1" applyFill="1" applyAlignment="1">
      <alignment horizontal="center" vertical="center" wrapText="1"/>
    </xf>
    <xf numFmtId="0" fontId="18" fillId="15" borderId="1" xfId="0" applyFont="1" applyFill="1" applyBorder="1" applyAlignment="1">
      <alignment horizontal="center" vertical="center" wrapText="1"/>
    </xf>
    <xf numFmtId="0" fontId="18" fillId="15" borderId="1" xfId="0" applyFont="1" applyFill="1" applyBorder="1" applyAlignment="1">
      <alignment horizontal="center" vertical="center"/>
    </xf>
    <xf numFmtId="49" fontId="18" fillId="15" borderId="1" xfId="0" applyNumberFormat="1" applyFont="1" applyFill="1" applyBorder="1" applyAlignment="1">
      <alignment vertical="center" wrapText="1"/>
    </xf>
    <xf numFmtId="0" fontId="15" fillId="15" borderId="1" xfId="0" applyFont="1" applyFill="1" applyBorder="1" applyAlignment="1">
      <alignment vertical="center" wrapText="1"/>
    </xf>
    <xf numFmtId="0" fontId="21" fillId="15" borderId="1" xfId="0" applyFont="1" applyFill="1" applyBorder="1" applyAlignment="1">
      <alignment horizontal="center" vertical="center" wrapText="1"/>
    </xf>
    <xf numFmtId="0" fontId="20" fillId="15" borderId="1" xfId="0" applyFont="1" applyFill="1" applyBorder="1" applyAlignment="1">
      <alignment horizontal="center" vertical="center" wrapText="1"/>
    </xf>
    <xf numFmtId="0" fontId="42" fillId="15" borderId="1" xfId="0" applyFont="1" applyFill="1" applyBorder="1" applyAlignment="1">
      <alignment vertical="top" wrapText="1"/>
    </xf>
    <xf numFmtId="0" fontId="21" fillId="15" borderId="1" xfId="0" applyFont="1" applyFill="1" applyBorder="1" applyAlignment="1">
      <alignment vertical="center" wrapText="1"/>
    </xf>
    <xf numFmtId="165" fontId="15" fillId="15" borderId="1" xfId="0" applyNumberFormat="1" applyFont="1" applyFill="1" applyBorder="1" applyAlignment="1">
      <alignment horizontal="center" vertical="center" wrapText="1"/>
    </xf>
    <xf numFmtId="43" fontId="14" fillId="15" borderId="1" xfId="2" applyFont="1" applyFill="1" applyBorder="1" applyAlignment="1">
      <alignment vertical="center" wrapText="1"/>
    </xf>
    <xf numFmtId="0" fontId="15" fillId="15" borderId="1" xfId="0" applyFont="1" applyFill="1" applyBorder="1" applyAlignment="1">
      <alignment horizontal="center" vertical="center" wrapText="1"/>
    </xf>
    <xf numFmtId="0" fontId="9" fillId="15" borderId="0" xfId="0" applyFont="1" applyFill="1" applyAlignment="1">
      <alignment vertical="center"/>
    </xf>
    <xf numFmtId="0" fontId="8" fillId="0" borderId="16" xfId="0" applyFont="1" applyBorder="1" applyAlignment="1">
      <alignment horizontal="left"/>
    </xf>
    <xf numFmtId="165" fontId="29" fillId="0" borderId="6" xfId="0" applyNumberFormat="1" applyFont="1" applyBorder="1" applyAlignment="1">
      <alignment horizontal="right" vertical="center" wrapText="1"/>
    </xf>
    <xf numFmtId="0" fontId="37" fillId="0" borderId="1" xfId="5" applyBorder="1" applyAlignment="1">
      <alignment horizontal="left" vertical="center" wrapText="1"/>
    </xf>
    <xf numFmtId="0" fontId="8" fillId="0" borderId="16" xfId="0" applyFont="1" applyBorder="1" applyAlignment="1">
      <alignment horizontal="left" wrapText="1"/>
    </xf>
    <xf numFmtId="165" fontId="8" fillId="0" borderId="6" xfId="0" applyNumberFormat="1" applyFont="1" applyBorder="1" applyAlignment="1">
      <alignment vertical="center"/>
    </xf>
    <xf numFmtId="165" fontId="8" fillId="0" borderId="16" xfId="0" applyNumberFormat="1" applyFont="1" applyBorder="1" applyAlignment="1">
      <alignment vertical="center"/>
    </xf>
    <xf numFmtId="49" fontId="18" fillId="15" borderId="1" xfId="0" applyNumberFormat="1" applyFont="1" applyFill="1" applyBorder="1" applyAlignment="1">
      <alignment horizontal="center" vertical="center" wrapText="1"/>
    </xf>
    <xf numFmtId="49" fontId="18" fillId="13" borderId="1" xfId="0" applyNumberFormat="1"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32" fillId="2" borderId="1" xfId="0" applyNumberFormat="1" applyFont="1" applyFill="1" applyBorder="1" applyAlignment="1">
      <alignment horizontal="center" vertical="center" wrapText="1"/>
    </xf>
    <xf numFmtId="49" fontId="18" fillId="12" borderId="1" xfId="0" applyNumberFormat="1" applyFont="1" applyFill="1" applyBorder="1" applyAlignment="1">
      <alignment horizontal="center" vertical="center" wrapText="1"/>
    </xf>
    <xf numFmtId="49" fontId="18" fillId="8" borderId="1" xfId="0" applyNumberFormat="1" applyFont="1" applyFill="1" applyBorder="1" applyAlignment="1">
      <alignment horizontal="center" vertical="center" wrapText="1"/>
    </xf>
    <xf numFmtId="49" fontId="18" fillId="10" borderId="1" xfId="0" applyNumberFormat="1" applyFont="1" applyFill="1" applyBorder="1" applyAlignment="1">
      <alignment horizontal="center" vertical="center" wrapText="1"/>
    </xf>
    <xf numFmtId="49" fontId="18" fillId="7" borderId="1" xfId="0" applyNumberFormat="1" applyFont="1" applyFill="1" applyBorder="1" applyAlignment="1">
      <alignment horizontal="center" vertical="center" wrapText="1"/>
    </xf>
    <xf numFmtId="49" fontId="18" fillId="3" borderId="1" xfId="0" applyNumberFormat="1" applyFont="1" applyFill="1" applyBorder="1" applyAlignment="1">
      <alignment horizontal="center" vertical="center" wrapText="1"/>
    </xf>
    <xf numFmtId="49" fontId="18" fillId="14" borderId="1" xfId="0" applyNumberFormat="1" applyFont="1" applyFill="1" applyBorder="1" applyAlignment="1">
      <alignment horizontal="center" vertical="center" wrapText="1"/>
    </xf>
    <xf numFmtId="49" fontId="18" fillId="9" borderId="1" xfId="0" applyNumberFormat="1" applyFont="1" applyFill="1" applyBorder="1" applyAlignment="1">
      <alignment horizontal="center" vertical="center" wrapText="1"/>
    </xf>
    <xf numFmtId="49" fontId="18" fillId="11" borderId="1" xfId="0" applyNumberFormat="1" applyFont="1" applyFill="1" applyBorder="1" applyAlignment="1">
      <alignment horizontal="center" vertical="center" wrapText="1"/>
    </xf>
    <xf numFmtId="49" fontId="9" fillId="0" borderId="0" xfId="0" applyNumberFormat="1" applyFont="1" applyAlignment="1">
      <alignment horizontal="center" vertical="center" wrapText="1"/>
    </xf>
    <xf numFmtId="165" fontId="14" fillId="0" borderId="0" xfId="0" applyNumberFormat="1" applyFont="1"/>
    <xf numFmtId="165" fontId="8" fillId="0" borderId="5" xfId="0" applyNumberFormat="1" applyFont="1" applyBorder="1" applyAlignment="1">
      <alignment vertical="center"/>
    </xf>
    <xf numFmtId="0" fontId="8" fillId="0" borderId="2" xfId="0" applyFont="1" applyBorder="1" applyAlignment="1">
      <alignment horizontal="left" vertical="center"/>
    </xf>
    <xf numFmtId="165" fontId="29" fillId="0" borderId="5" xfId="0" applyNumberFormat="1" applyFont="1" applyBorder="1" applyAlignment="1">
      <alignment horizontal="right" vertical="center" wrapText="1"/>
    </xf>
    <xf numFmtId="165" fontId="15" fillId="4" borderId="8" xfId="0" applyNumberFormat="1" applyFont="1" applyFill="1" applyBorder="1" applyAlignment="1">
      <alignment horizontal="center" vertical="center"/>
    </xf>
    <xf numFmtId="165" fontId="15" fillId="4" borderId="12" xfId="0" applyNumberFormat="1" applyFont="1" applyFill="1" applyBorder="1" applyAlignment="1">
      <alignment horizontal="center" vertical="center"/>
    </xf>
    <xf numFmtId="165" fontId="15" fillId="4" borderId="11" xfId="0" applyNumberFormat="1" applyFont="1" applyFill="1" applyBorder="1" applyAlignment="1">
      <alignment horizontal="center" vertical="center"/>
    </xf>
    <xf numFmtId="43" fontId="15" fillId="4" borderId="8" xfId="2" applyFont="1" applyFill="1" applyBorder="1" applyAlignment="1">
      <alignment horizontal="center" vertical="center" wrapText="1"/>
    </xf>
    <xf numFmtId="43" fontId="15" fillId="4" borderId="12" xfId="2" applyFont="1" applyFill="1" applyBorder="1" applyAlignment="1">
      <alignment horizontal="center" vertical="center" wrapText="1"/>
    </xf>
    <xf numFmtId="43" fontId="15" fillId="4" borderId="11" xfId="2" applyFont="1" applyFill="1" applyBorder="1" applyAlignment="1">
      <alignment horizontal="center" vertical="center" wrapText="1"/>
    </xf>
    <xf numFmtId="165" fontId="15" fillId="4" borderId="8" xfId="0" applyNumberFormat="1" applyFont="1" applyFill="1" applyBorder="1" applyAlignment="1">
      <alignment horizontal="center" vertical="center" wrapText="1"/>
    </xf>
    <xf numFmtId="165" fontId="15" fillId="4" borderId="12" xfId="0" applyNumberFormat="1" applyFont="1" applyFill="1" applyBorder="1" applyAlignment="1">
      <alignment horizontal="center" vertical="center" wrapText="1"/>
    </xf>
    <xf numFmtId="165" fontId="15" fillId="4" borderId="11" xfId="0" applyNumberFormat="1" applyFont="1" applyFill="1" applyBorder="1" applyAlignment="1">
      <alignment horizontal="center" vertical="center" wrapText="1"/>
    </xf>
    <xf numFmtId="165" fontId="15" fillId="6" borderId="8"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cellXfs>
  <cellStyles count="13">
    <cellStyle name="Collegamento ipertestuale" xfId="5" builtinId="8"/>
    <cellStyle name="Migliaia" xfId="2" builtinId="3"/>
    <cellStyle name="Migliaia 2" xfId="7" xr:uid="{7AC5B57E-5E3E-4F64-BAC2-CD480ADC55C4}"/>
    <cellStyle name="Migliaia 3" xfId="10" xr:uid="{6BDAFBE8-883D-4683-A2C5-56E7DC243A8B}"/>
    <cellStyle name="Normale" xfId="0" builtinId="0"/>
    <cellStyle name="Normale 2" xfId="3" xr:uid="{980EBC4E-53FB-488A-8A9E-10572C687AA5}"/>
    <cellStyle name="Percentuale" xfId="1" builtinId="5"/>
    <cellStyle name="Valuta" xfId="4" builtinId="4"/>
    <cellStyle name="Valuta 2" xfId="6" xr:uid="{C58217F8-0E5E-4813-BC8D-36357D63AFAF}"/>
    <cellStyle name="Valuta 2 2" xfId="9" xr:uid="{E0C9845A-4237-4142-B209-08E43E03EACB}"/>
    <cellStyle name="Valuta 2 3" xfId="12" xr:uid="{E5C4E449-3A97-4B6E-84C6-2D491FC7CC08}"/>
    <cellStyle name="Valuta 3" xfId="8" xr:uid="{7F63F51A-F3A1-488B-A0D6-D677F2CF3C02}"/>
    <cellStyle name="Valuta 4" xfId="11" xr:uid="{3E40EB28-6496-48D8-A2B4-FB6B54B7D5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2333625</xdr:colOff>
      <xdr:row>0</xdr:row>
      <xdr:rowOff>152400</xdr:rowOff>
    </xdr:from>
    <xdr:to>
      <xdr:col>0</xdr:col>
      <xdr:colOff>4924101</xdr:colOff>
      <xdr:row>0</xdr:row>
      <xdr:rowOff>1028590</xdr:rowOff>
    </xdr:to>
    <xdr:pic>
      <xdr:nvPicPr>
        <xdr:cNvPr id="3" name="Immagine 2">
          <a:extLst>
            <a:ext uri="{FF2B5EF4-FFF2-40B4-BE49-F238E27FC236}">
              <a16:creationId xmlns:a16="http://schemas.microsoft.com/office/drawing/2014/main" id="{5FA928EF-9193-4E94-BEFE-E3FC332AEF7E}"/>
            </a:ext>
          </a:extLst>
        </xdr:cNvPr>
        <xdr:cNvPicPr>
          <a:picLocks noChangeAspect="1"/>
        </xdr:cNvPicPr>
      </xdr:nvPicPr>
      <xdr:blipFill>
        <a:blip xmlns:r="http://schemas.openxmlformats.org/officeDocument/2006/relationships" r:embed="rId1"/>
        <a:stretch>
          <a:fillRect/>
        </a:stretch>
      </xdr:blipFill>
      <xdr:spPr>
        <a:xfrm>
          <a:off x="2333625" y="152400"/>
          <a:ext cx="2590476" cy="8761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verio Malatesta" id="{A12A3D81-D5EF-4D05-8800-DCB5D320DD0E}" userId="S::Saverio_Malatesta@regione.lombardia.it::3f6c48e5-0f6b-4e26-99a3-ba67243299fd" providerId="AD"/>
</personList>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amask">
  <a:themeElements>
    <a:clrScheme name="Damask">
      <a:dk1>
        <a:sysClr val="windowText" lastClr="000000"/>
      </a:dk1>
      <a:lt1>
        <a:sysClr val="window" lastClr="FFFFFF"/>
      </a:lt1>
      <a:dk2>
        <a:srgbClr val="2A5B7F"/>
      </a:dk2>
      <a:lt2>
        <a:srgbClr val="ABDAFC"/>
      </a:lt2>
      <a:accent1>
        <a:srgbClr val="9EC544"/>
      </a:accent1>
      <a:accent2>
        <a:srgbClr val="50BEA3"/>
      </a:accent2>
      <a:accent3>
        <a:srgbClr val="4A9CCC"/>
      </a:accent3>
      <a:accent4>
        <a:srgbClr val="9A66CA"/>
      </a:accent4>
      <a:accent5>
        <a:srgbClr val="C54F71"/>
      </a:accent5>
      <a:accent6>
        <a:srgbClr val="DE9C3C"/>
      </a:accent6>
      <a:hlink>
        <a:srgbClr val="6BA9DA"/>
      </a:hlink>
      <a:folHlink>
        <a:srgbClr val="A0BCD3"/>
      </a:folHlink>
    </a:clrScheme>
    <a:fontScheme name="Damask">
      <a:majorFont>
        <a:latin typeface="Bookman Old Style" panose="02050604050505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Rockwell" panose="020606030202050204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amask">
      <a:fillStyleLst>
        <a:solidFill>
          <a:schemeClr val="phClr"/>
        </a:solidFill>
        <a:gradFill rotWithShape="1">
          <a:gsLst>
            <a:gs pos="0">
              <a:schemeClr val="phClr">
                <a:tint val="48000"/>
                <a:satMod val="105000"/>
                <a:lumMod val="110000"/>
              </a:schemeClr>
            </a:gs>
            <a:gs pos="100000">
              <a:schemeClr val="phClr">
                <a:tint val="78000"/>
                <a:satMod val="109000"/>
                <a:lumMod val="100000"/>
              </a:schemeClr>
            </a:gs>
          </a:gsLst>
          <a:lin ang="5400000" scaled="0"/>
        </a:gradFill>
        <a:gradFill rotWithShape="1">
          <a:gsLst>
            <a:gs pos="0">
              <a:schemeClr val="phClr">
                <a:tint val="94000"/>
                <a:satMod val="100000"/>
                <a:lumMod val="104000"/>
              </a:schemeClr>
            </a:gs>
            <a:gs pos="69000">
              <a:schemeClr val="phClr">
                <a:shade val="86000"/>
                <a:satMod val="130000"/>
                <a:lumMod val="102000"/>
              </a:schemeClr>
            </a:gs>
            <a:gs pos="100000">
              <a:schemeClr val="phClr">
                <a:shade val="72000"/>
                <a:satMod val="130000"/>
                <a:lumMod val="100000"/>
              </a:schemeClr>
            </a:gs>
          </a:gsLst>
          <a:lin ang="5400000" scaled="0"/>
        </a:gradFill>
      </a:fillStyleLst>
      <a:lnStyleLst>
        <a:ln w="12700"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outerShdw blurRad="50800" dist="38100" dir="5400000" sy="96000" rotWithShape="0">
              <a:srgbClr val="000000">
                <a:alpha val="54000"/>
              </a:srgbClr>
            </a:outerShdw>
          </a:effectLst>
        </a:effectStyle>
        <a:effectStyle>
          <a:effectLst>
            <a:outerShdw blurRad="76200" dist="38100" dir="5400000" algn="ctr" rotWithShape="0">
              <a:srgbClr val="000000">
                <a:alpha val="76000"/>
              </a:srgbClr>
            </a:outerShdw>
          </a:effectLst>
          <a:scene3d>
            <a:camera prst="orthographicFront">
              <a:rot lat="0" lon="0" rev="0"/>
            </a:camera>
            <a:lightRig rig="balanced" dir="t"/>
          </a:scene3d>
          <a:sp3d prstMaterial="matte">
            <a:bevelT w="25400" h="25400" prst="relaxedInset"/>
          </a:sp3d>
        </a:effectStyle>
      </a:effectStyleLst>
      <a:bgFillStyleLst>
        <a:solidFill>
          <a:schemeClr val="phClr"/>
        </a:solidFill>
        <a:solidFill>
          <a:schemeClr val="phClr">
            <a:tint val="95000"/>
            <a:satMod val="170000"/>
          </a:schemeClr>
        </a:solidFill>
        <a:blipFill rotWithShape="1">
          <a:blip xmlns:r="http://schemas.openxmlformats.org/officeDocument/2006/relationships" r:embed="rId1">
            <a:duotone>
              <a:schemeClr val="phClr">
                <a:shade val="18000"/>
                <a:satMod val="160000"/>
                <a:lumMod val="28000"/>
              </a:schemeClr>
              <a:schemeClr val="phClr">
                <a:tint val="95000"/>
                <a:satMod val="160000"/>
                <a:lumMod val="116000"/>
              </a:schemeClr>
            </a:duotone>
          </a:blip>
          <a:stretch/>
        </a:blipFill>
      </a:bgFillStyleLst>
    </a:fmtScheme>
  </a:themeElements>
  <a:objectDefaults/>
  <a:extraClrSchemeLst/>
  <a:extLst>
    <a:ext uri="{05A4C25C-085E-4340-85A3-A5531E510DB2}">
      <thm15:themeFamily xmlns:thm15="http://schemas.microsoft.com/office/thememl/2012/main" name="Damask" id="{F9A299A0-33D0-4E0F-9F3F-7163E3744208}" vid="{746EEEEA-FB6A-406B-B510-531588D54811}"/>
    </a:ext>
  </a:extLst>
</a:theme>
</file>

<file path=xl/threadedComments/threadedComment1.xml><?xml version="1.0" encoding="utf-8"?>
<ThreadedComments xmlns="http://schemas.microsoft.com/office/spreadsheetml/2018/threadedcomments" xmlns:x="http://schemas.openxmlformats.org/spreadsheetml/2006/main">
  <threadedComment ref="N106" dT="2022-01-24T11:44:25.76" personId="{A12A3D81-D5EF-4D05-8800-DCB5D320DD0E}" id="{5C93F117-0345-4A58-83A0-FB4837993478}">
    <text>Prima assegnazione. 20% del totale</text>
  </threadedComment>
  <threadedComment ref="O106" dT="2022-01-24T11:45:09.16" personId="{A12A3D81-D5EF-4D05-8800-DCB5D320DD0E}" id="{FCAACCD9-1A57-44D2-8F47-A070D91445B5}">
    <text>Prima assegnazione. 20% del totale</text>
  </threadedComment>
  <threadedComment ref="L175" dT="2021-12-10T14:07:08.35" personId="{A12A3D81-D5EF-4D05-8800-DCB5D320DD0E}" id="{E42F1258-17E5-42D2-913B-4A37F10295B9}">
    <text>non ci sono riparti alle Regioni. Procedura nazionale "a sportello" entro le scadenze del superbonus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s://pnrr.istruzione.it/wp-content/uploads/2022/06/M4C1I.1.4_Dispersione_Riparto_regionale.pdf" TargetMode="External"/><Relationship Id="rId7" Type="http://schemas.openxmlformats.org/officeDocument/2006/relationships/comments" Target="../comments1.xml"/><Relationship Id="rId2" Type="http://schemas.openxmlformats.org/officeDocument/2006/relationships/hyperlink" Target="https://www.sport.governo.it/it/pnrr/notizie/pubblicati-i-primi-decreti-di-ammissione-a-finanziamento-cluster-1-e-2-e-cluster-3/" TargetMode="External"/><Relationship Id="rId1" Type="http://schemas.openxmlformats.org/officeDocument/2006/relationships/hyperlink" Target="https://media.beniculturali.it/mibac/files/boards/388a5474724a15af0ace7a40ab3301de/SG/PNRR%20Intervento%202.3%20-%20Avviso_Parchi-Giardini+Allegato-signed-signed.pdf"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areariservata.padigitale2026.gov.it/Pa_digitale2026_dettagli_avviso?id=a017Q00001DpRjQQA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CDB9B-4A89-4B8A-BC62-25B0F1A0C999}">
  <sheetPr>
    <pageSetUpPr fitToPage="1"/>
  </sheetPr>
  <dimension ref="A1:A2"/>
  <sheetViews>
    <sheetView topLeftCell="A2" workbookViewId="0">
      <selection activeCell="A2" sqref="A2"/>
    </sheetView>
  </sheetViews>
  <sheetFormatPr defaultRowHeight="14" x14ac:dyDescent="0.3"/>
  <cols>
    <col min="1" max="1" width="100.58203125" customWidth="1"/>
  </cols>
  <sheetData>
    <row r="1" spans="1:1" ht="94.5" customHeight="1" x14ac:dyDescent="0.3"/>
    <row r="2" spans="1:1" ht="401.25" customHeight="1" x14ac:dyDescent="0.3">
      <c r="A2" s="117" t="s">
        <v>708</v>
      </c>
    </row>
  </sheetData>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A2285-CD4B-48FC-9261-8F72F4506384}">
  <sheetPr>
    <pageSetUpPr fitToPage="1"/>
  </sheetPr>
  <dimension ref="A1:BG193"/>
  <sheetViews>
    <sheetView tabSelected="1" zoomScale="50" zoomScaleNormal="50" zoomScaleSheetLayoutView="55" workbookViewId="0">
      <pane ySplit="1" topLeftCell="A25" activePane="bottomLeft" state="frozen"/>
      <selection activeCell="C1" sqref="C1"/>
      <selection pane="bottomLeft" activeCell="H28" sqref="H28"/>
    </sheetView>
  </sheetViews>
  <sheetFormatPr defaultColWidth="9" defaultRowHeight="18.5" x14ac:dyDescent="0.3"/>
  <cols>
    <col min="1" max="1" width="10.58203125" style="269" customWidth="1"/>
    <col min="2" max="2" width="14.58203125" style="269" customWidth="1"/>
    <col min="3" max="3" width="9" style="269"/>
    <col min="4" max="4" width="21.75" style="77" customWidth="1"/>
    <col min="5" max="5" width="25.25" style="275" customWidth="1"/>
    <col min="6" max="6" width="28" style="509" customWidth="1"/>
    <col min="7" max="7" width="67.5" style="77" customWidth="1"/>
    <col min="8" max="8" width="31.58203125" style="316" customWidth="1"/>
    <col min="9" max="9" width="28.83203125" style="77" customWidth="1"/>
    <col min="10" max="11" width="27.33203125" style="276" customWidth="1"/>
    <col min="12" max="12" width="105.33203125" style="77" customWidth="1"/>
    <col min="13" max="13" width="53.83203125" style="77" customWidth="1"/>
    <col min="14" max="14" width="44.33203125" style="277" customWidth="1"/>
    <col min="15" max="15" width="41" style="277" customWidth="1"/>
    <col min="16" max="16" width="35.33203125" style="277" customWidth="1"/>
    <col min="17" max="17" width="30.75" style="278" customWidth="1"/>
    <col min="18" max="18" width="62.08203125" style="347" customWidth="1"/>
    <col min="19" max="19" width="64.25" style="276" customWidth="1"/>
    <col min="20" max="16384" width="9" style="77"/>
  </cols>
  <sheetData>
    <row r="1" spans="1:19" s="268" customFormat="1" ht="98.25" customHeight="1" x14ac:dyDescent="0.3">
      <c r="A1" s="6" t="s">
        <v>0</v>
      </c>
      <c r="B1" s="6" t="s">
        <v>109</v>
      </c>
      <c r="C1" s="6" t="s">
        <v>1</v>
      </c>
      <c r="D1" s="6" t="s">
        <v>110</v>
      </c>
      <c r="E1" s="102" t="s">
        <v>10</v>
      </c>
      <c r="F1" s="102" t="s">
        <v>71</v>
      </c>
      <c r="G1" s="6" t="s">
        <v>70</v>
      </c>
      <c r="H1" s="310" t="s">
        <v>316</v>
      </c>
      <c r="I1" s="6" t="s">
        <v>294</v>
      </c>
      <c r="J1" s="6" t="s">
        <v>353</v>
      </c>
      <c r="K1" s="6" t="s">
        <v>312</v>
      </c>
      <c r="L1" s="6" t="s">
        <v>314</v>
      </c>
      <c r="M1" s="6" t="s">
        <v>315</v>
      </c>
      <c r="N1" s="6" t="s">
        <v>91</v>
      </c>
      <c r="O1" s="6" t="s">
        <v>90</v>
      </c>
      <c r="P1" s="6" t="s">
        <v>206</v>
      </c>
      <c r="Q1" s="7" t="s">
        <v>13</v>
      </c>
      <c r="R1" s="344" t="s">
        <v>223</v>
      </c>
      <c r="S1" s="6" t="s">
        <v>354</v>
      </c>
    </row>
    <row r="2" spans="1:19" s="268" customFormat="1" ht="98.25" customHeight="1" x14ac:dyDescent="0.3">
      <c r="A2" s="178" t="s">
        <v>21</v>
      </c>
      <c r="B2" s="178" t="s">
        <v>111</v>
      </c>
      <c r="C2" s="178" t="s">
        <v>8</v>
      </c>
      <c r="D2" s="178" t="s">
        <v>149</v>
      </c>
      <c r="E2" s="219" t="s">
        <v>660</v>
      </c>
      <c r="F2" s="499" t="s">
        <v>224</v>
      </c>
      <c r="G2" s="257" t="s">
        <v>586</v>
      </c>
      <c r="H2" s="238" t="s">
        <v>224</v>
      </c>
      <c r="I2" s="238" t="s">
        <v>216</v>
      </c>
      <c r="J2" s="238" t="s">
        <v>47</v>
      </c>
      <c r="K2" s="238"/>
      <c r="L2" s="6"/>
      <c r="M2" s="6"/>
      <c r="N2" s="248">
        <v>1000000000</v>
      </c>
      <c r="O2" s="248">
        <v>124141867</v>
      </c>
      <c r="P2" s="367" t="s">
        <v>661</v>
      </c>
      <c r="Q2" s="56">
        <f>(O2/N2)*100</f>
        <v>12.4141867</v>
      </c>
      <c r="R2" s="344"/>
      <c r="S2" s="6"/>
    </row>
    <row r="3" spans="1:19" s="268" customFormat="1" ht="98.25" customHeight="1" x14ac:dyDescent="0.3">
      <c r="A3" s="178" t="s">
        <v>21</v>
      </c>
      <c r="B3" s="178" t="s">
        <v>111</v>
      </c>
      <c r="C3" s="178" t="s">
        <v>8</v>
      </c>
      <c r="D3" s="178" t="s">
        <v>149</v>
      </c>
      <c r="E3" s="219" t="s">
        <v>694</v>
      </c>
      <c r="F3" s="499" t="s">
        <v>224</v>
      </c>
      <c r="G3" s="493" t="s">
        <v>695</v>
      </c>
      <c r="H3" s="238"/>
      <c r="I3" s="238"/>
      <c r="J3" s="238"/>
      <c r="K3" s="238"/>
      <c r="L3" s="6"/>
      <c r="M3" s="6"/>
      <c r="N3" s="248">
        <v>50000000</v>
      </c>
      <c r="O3" s="248"/>
      <c r="P3" s="367"/>
      <c r="Q3" s="56"/>
      <c r="R3" s="344"/>
      <c r="S3" s="6"/>
    </row>
    <row r="4" spans="1:19" s="269" customFormat="1" ht="95.25" customHeight="1" x14ac:dyDescent="0.3">
      <c r="A4" s="178" t="s">
        <v>21</v>
      </c>
      <c r="B4" s="178" t="s">
        <v>111</v>
      </c>
      <c r="C4" s="178" t="s">
        <v>8</v>
      </c>
      <c r="D4" s="178" t="s">
        <v>149</v>
      </c>
      <c r="E4" s="219" t="s">
        <v>205</v>
      </c>
      <c r="F4" s="499" t="s">
        <v>224</v>
      </c>
      <c r="G4" s="257" t="s">
        <v>207</v>
      </c>
      <c r="H4" s="238" t="s">
        <v>317</v>
      </c>
      <c r="I4" s="87" t="s">
        <v>216</v>
      </c>
      <c r="J4" s="238" t="s">
        <v>49</v>
      </c>
      <c r="K4" s="238"/>
      <c r="L4" s="86"/>
      <c r="M4" s="86"/>
      <c r="N4" s="248">
        <v>40000000</v>
      </c>
      <c r="O4" s="248">
        <v>10300000</v>
      </c>
      <c r="P4" s="237"/>
      <c r="Q4" s="56">
        <f>(O4/N4)*100</f>
        <v>25.75</v>
      </c>
      <c r="R4" s="345"/>
      <c r="S4" s="86" t="s">
        <v>355</v>
      </c>
    </row>
    <row r="5" spans="1:19" s="269" customFormat="1" ht="211.5" customHeight="1" x14ac:dyDescent="0.3">
      <c r="A5" s="178" t="s">
        <v>21</v>
      </c>
      <c r="B5" s="178" t="s">
        <v>111</v>
      </c>
      <c r="C5" s="178" t="s">
        <v>8</v>
      </c>
      <c r="D5" s="178" t="s">
        <v>149</v>
      </c>
      <c r="E5" s="219" t="s">
        <v>295</v>
      </c>
      <c r="F5" s="499" t="s">
        <v>224</v>
      </c>
      <c r="G5" s="365" t="s">
        <v>493</v>
      </c>
      <c r="H5" s="238" t="s">
        <v>224</v>
      </c>
      <c r="I5" s="87" t="s">
        <v>216</v>
      </c>
      <c r="J5" s="238" t="s">
        <v>69</v>
      </c>
      <c r="K5" s="363" t="s">
        <v>496</v>
      </c>
      <c r="L5" s="407" t="s">
        <v>553</v>
      </c>
      <c r="M5" s="366">
        <v>44926</v>
      </c>
      <c r="N5" s="248">
        <v>132000000</v>
      </c>
      <c r="O5" s="364" t="s">
        <v>445</v>
      </c>
      <c r="P5" s="367" t="s">
        <v>494</v>
      </c>
      <c r="Q5" s="375">
        <v>14.14</v>
      </c>
      <c r="R5" s="376"/>
      <c r="S5" s="377" t="s">
        <v>495</v>
      </c>
    </row>
    <row r="6" spans="1:19" s="269" customFormat="1" ht="211.5" customHeight="1" x14ac:dyDescent="0.3">
      <c r="A6" s="368" t="s">
        <v>21</v>
      </c>
      <c r="B6" s="368" t="s">
        <v>111</v>
      </c>
      <c r="C6" s="368" t="s">
        <v>8</v>
      </c>
      <c r="D6" s="368" t="s">
        <v>149</v>
      </c>
      <c r="E6" s="219" t="s">
        <v>588</v>
      </c>
      <c r="F6" s="499" t="s">
        <v>224</v>
      </c>
      <c r="G6" s="365" t="s">
        <v>587</v>
      </c>
      <c r="H6" s="238" t="s">
        <v>224</v>
      </c>
      <c r="I6" s="87" t="s">
        <v>216</v>
      </c>
      <c r="J6" s="238" t="s">
        <v>47</v>
      </c>
      <c r="K6" s="363"/>
      <c r="L6" s="407"/>
      <c r="M6" s="366"/>
      <c r="N6" s="248"/>
      <c r="O6" s="372">
        <v>69423874</v>
      </c>
      <c r="P6" s="367"/>
      <c r="Q6" s="375"/>
      <c r="R6" s="376"/>
      <c r="S6" s="377"/>
    </row>
    <row r="7" spans="1:19" s="268" customFormat="1" ht="152.25" customHeight="1" x14ac:dyDescent="0.3">
      <c r="A7" s="368" t="s">
        <v>21</v>
      </c>
      <c r="B7" s="368" t="s">
        <v>111</v>
      </c>
      <c r="C7" s="368" t="s">
        <v>8</v>
      </c>
      <c r="D7" s="368" t="s">
        <v>149</v>
      </c>
      <c r="E7" s="460" t="s">
        <v>663</v>
      </c>
      <c r="F7" s="500" t="s">
        <v>224</v>
      </c>
      <c r="G7" s="369" t="s">
        <v>508</v>
      </c>
      <c r="H7" s="238" t="s">
        <v>224</v>
      </c>
      <c r="I7" s="370" t="s">
        <v>216</v>
      </c>
      <c r="J7" s="238" t="s">
        <v>69</v>
      </c>
      <c r="K7" s="238" t="s">
        <v>497</v>
      </c>
      <c r="L7" s="389" t="s">
        <v>622</v>
      </c>
      <c r="M7" s="390" t="s">
        <v>532</v>
      </c>
      <c r="N7" s="374" t="s">
        <v>499</v>
      </c>
      <c r="O7" s="372">
        <v>260162</v>
      </c>
      <c r="P7" s="372" t="s">
        <v>500</v>
      </c>
      <c r="Q7" s="373">
        <v>3.3E-3</v>
      </c>
      <c r="R7" s="54" t="s">
        <v>501</v>
      </c>
      <c r="S7" s="52" t="s">
        <v>531</v>
      </c>
    </row>
    <row r="8" spans="1:19" s="268" customFormat="1" ht="152.25" customHeight="1" x14ac:dyDescent="0.3">
      <c r="A8" s="368" t="s">
        <v>21</v>
      </c>
      <c r="B8" s="368" t="s">
        <v>111</v>
      </c>
      <c r="C8" s="368" t="s">
        <v>8</v>
      </c>
      <c r="D8" s="368" t="s">
        <v>149</v>
      </c>
      <c r="E8" s="460" t="s">
        <v>697</v>
      </c>
      <c r="F8" s="500" t="s">
        <v>224</v>
      </c>
      <c r="G8" s="369" t="s">
        <v>662</v>
      </c>
      <c r="H8" s="238" t="s">
        <v>224</v>
      </c>
      <c r="I8" s="370" t="s">
        <v>216</v>
      </c>
      <c r="J8" s="238" t="s">
        <v>47</v>
      </c>
      <c r="K8" s="238"/>
      <c r="L8" s="389"/>
      <c r="M8" s="390"/>
      <c r="N8" s="374"/>
      <c r="O8" s="372">
        <v>33463455</v>
      </c>
      <c r="P8" s="415" t="s">
        <v>698</v>
      </c>
      <c r="Q8" s="373"/>
      <c r="R8" s="54"/>
      <c r="S8" s="52"/>
    </row>
    <row r="9" spans="1:19" s="268" customFormat="1" ht="166.5" customHeight="1" x14ac:dyDescent="0.3">
      <c r="A9" s="368" t="s">
        <v>21</v>
      </c>
      <c r="B9" s="368" t="s">
        <v>111</v>
      </c>
      <c r="C9" s="368" t="s">
        <v>8</v>
      </c>
      <c r="D9" s="368" t="s">
        <v>149</v>
      </c>
      <c r="E9" s="460" t="s">
        <v>664</v>
      </c>
      <c r="F9" s="500" t="s">
        <v>224</v>
      </c>
      <c r="G9" s="369" t="s">
        <v>507</v>
      </c>
      <c r="H9" s="238" t="s">
        <v>224</v>
      </c>
      <c r="I9" s="370" t="s">
        <v>216</v>
      </c>
      <c r="J9" s="238" t="s">
        <v>69</v>
      </c>
      <c r="K9" s="238" t="s">
        <v>497</v>
      </c>
      <c r="L9" s="389" t="s">
        <v>623</v>
      </c>
      <c r="M9" s="371">
        <v>44813</v>
      </c>
      <c r="N9" s="374" t="s">
        <v>502</v>
      </c>
      <c r="O9" s="372">
        <v>297320</v>
      </c>
      <c r="P9" s="372" t="s">
        <v>500</v>
      </c>
      <c r="Q9" s="373">
        <v>8.5000000000000006E-3</v>
      </c>
      <c r="R9" s="54" t="s">
        <v>501</v>
      </c>
      <c r="S9" s="388" t="s">
        <v>530</v>
      </c>
    </row>
    <row r="10" spans="1:19" s="268" customFormat="1" ht="222" customHeight="1" x14ac:dyDescent="0.3">
      <c r="A10" s="368" t="s">
        <v>21</v>
      </c>
      <c r="B10" s="368" t="s">
        <v>111</v>
      </c>
      <c r="C10" s="368" t="s">
        <v>8</v>
      </c>
      <c r="D10" s="368" t="s">
        <v>149</v>
      </c>
      <c r="E10" s="460" t="s">
        <v>665</v>
      </c>
      <c r="F10" s="500" t="s">
        <v>224</v>
      </c>
      <c r="G10" s="369" t="s">
        <v>506</v>
      </c>
      <c r="H10" s="238" t="s">
        <v>224</v>
      </c>
      <c r="I10" s="370" t="s">
        <v>216</v>
      </c>
      <c r="J10" s="238" t="s">
        <v>69</v>
      </c>
      <c r="K10" s="238" t="s">
        <v>497</v>
      </c>
      <c r="L10" s="389" t="s">
        <v>498</v>
      </c>
      <c r="M10" s="371">
        <v>44813</v>
      </c>
      <c r="N10" s="374" t="s">
        <v>503</v>
      </c>
      <c r="O10" s="372">
        <v>14000</v>
      </c>
      <c r="P10" s="372" t="s">
        <v>504</v>
      </c>
      <c r="Q10" s="373">
        <v>5.0000000000000001E-4</v>
      </c>
      <c r="R10" s="54" t="s">
        <v>505</v>
      </c>
      <c r="S10" s="238" t="s">
        <v>529</v>
      </c>
    </row>
    <row r="11" spans="1:19" s="268" customFormat="1" ht="222" customHeight="1" x14ac:dyDescent="0.3">
      <c r="A11" s="368" t="s">
        <v>21</v>
      </c>
      <c r="B11" s="368" t="s">
        <v>111</v>
      </c>
      <c r="C11" s="368" t="s">
        <v>8</v>
      </c>
      <c r="D11" s="368" t="s">
        <v>149</v>
      </c>
      <c r="E11" s="460" t="s">
        <v>666</v>
      </c>
      <c r="F11" s="500" t="s">
        <v>224</v>
      </c>
      <c r="G11" s="369" t="s">
        <v>662</v>
      </c>
      <c r="H11" s="238" t="s">
        <v>224</v>
      </c>
      <c r="I11" s="370" t="s">
        <v>216</v>
      </c>
      <c r="J11" s="238" t="s">
        <v>47</v>
      </c>
      <c r="K11" s="238"/>
      <c r="L11" s="389"/>
      <c r="M11" s="371"/>
      <c r="N11" s="374"/>
      <c r="O11" s="372">
        <v>14826000</v>
      </c>
      <c r="P11" s="415" t="s">
        <v>667</v>
      </c>
      <c r="Q11" s="373"/>
      <c r="R11" s="54"/>
      <c r="S11" s="238"/>
    </row>
    <row r="12" spans="1:19" s="387" customFormat="1" ht="235.5" customHeight="1" x14ac:dyDescent="0.3">
      <c r="A12" s="434" t="s">
        <v>21</v>
      </c>
      <c r="B12" s="434" t="s">
        <v>111</v>
      </c>
      <c r="C12" s="435" t="s">
        <v>8</v>
      </c>
      <c r="D12" s="435" t="s">
        <v>149</v>
      </c>
      <c r="E12" s="436" t="s">
        <v>617</v>
      </c>
      <c r="F12" s="435" t="s">
        <v>224</v>
      </c>
      <c r="G12" s="437" t="s">
        <v>618</v>
      </c>
      <c r="H12" s="438" t="s">
        <v>625</v>
      </c>
      <c r="I12" s="444" t="s">
        <v>624</v>
      </c>
      <c r="J12" s="438" t="s">
        <v>619</v>
      </c>
      <c r="K12" s="438" t="s">
        <v>69</v>
      </c>
      <c r="L12" s="439" t="s">
        <v>620</v>
      </c>
      <c r="M12" s="440">
        <v>44851</v>
      </c>
      <c r="N12" s="441">
        <v>45000000</v>
      </c>
      <c r="O12" s="442">
        <v>1000000</v>
      </c>
      <c r="P12" s="438" t="s">
        <v>657</v>
      </c>
      <c r="Q12" s="443"/>
      <c r="R12" s="438" t="s">
        <v>621</v>
      </c>
      <c r="S12" s="440">
        <v>45626</v>
      </c>
    </row>
    <row r="13" spans="1:19" s="387" customFormat="1" ht="235.5" customHeight="1" x14ac:dyDescent="0.3">
      <c r="A13" s="434" t="s">
        <v>21</v>
      </c>
      <c r="B13" s="434" t="s">
        <v>111</v>
      </c>
      <c r="C13" s="435" t="s">
        <v>8</v>
      </c>
      <c r="D13" s="435" t="s">
        <v>149</v>
      </c>
      <c r="E13" s="436" t="s">
        <v>617</v>
      </c>
      <c r="F13" s="435" t="s">
        <v>224</v>
      </c>
      <c r="G13" s="437" t="s">
        <v>618</v>
      </c>
      <c r="H13" s="438" t="s">
        <v>674</v>
      </c>
      <c r="I13" s="444" t="s">
        <v>624</v>
      </c>
      <c r="J13" s="438" t="s">
        <v>619</v>
      </c>
      <c r="K13" s="438" t="s">
        <v>69</v>
      </c>
      <c r="L13" s="439"/>
      <c r="M13" s="440"/>
      <c r="N13" s="441" t="s">
        <v>635</v>
      </c>
      <c r="O13" s="461">
        <v>1000000</v>
      </c>
      <c r="P13" s="438" t="s">
        <v>657</v>
      </c>
      <c r="Q13" s="443"/>
      <c r="R13" s="438"/>
      <c r="S13" s="440"/>
    </row>
    <row r="14" spans="1:19" s="268" customFormat="1" ht="180" customHeight="1" x14ac:dyDescent="0.3">
      <c r="A14" s="176" t="s">
        <v>21</v>
      </c>
      <c r="B14" s="176" t="s">
        <v>111</v>
      </c>
      <c r="C14" s="176" t="s">
        <v>8</v>
      </c>
      <c r="D14" s="176" t="s">
        <v>149</v>
      </c>
      <c r="E14" s="210" t="s">
        <v>150</v>
      </c>
      <c r="F14" s="501" t="s">
        <v>225</v>
      </c>
      <c r="G14" s="189" t="s">
        <v>190</v>
      </c>
      <c r="H14" s="236" t="s">
        <v>323</v>
      </c>
      <c r="I14" s="358" t="s">
        <v>151</v>
      </c>
      <c r="J14" s="236" t="s">
        <v>69</v>
      </c>
      <c r="K14" s="171" t="s">
        <v>69</v>
      </c>
      <c r="L14" s="189" t="s">
        <v>437</v>
      </c>
      <c r="M14" s="176" t="s">
        <v>436</v>
      </c>
      <c r="N14" s="174">
        <v>320300000</v>
      </c>
      <c r="O14" s="172">
        <v>38632000</v>
      </c>
      <c r="P14" s="172"/>
      <c r="Q14" s="175">
        <f>(O14/N14)*100</f>
        <v>12.061192631907588</v>
      </c>
      <c r="R14" s="345"/>
      <c r="S14" s="176"/>
    </row>
    <row r="15" spans="1:19" s="268" customFormat="1" ht="381.75" customHeight="1" x14ac:dyDescent="0.3">
      <c r="A15" s="176" t="s">
        <v>21</v>
      </c>
      <c r="B15" s="176" t="s">
        <v>111</v>
      </c>
      <c r="C15" s="176" t="s">
        <v>3</v>
      </c>
      <c r="D15" s="176" t="s">
        <v>212</v>
      </c>
      <c r="E15" s="210" t="s">
        <v>213</v>
      </c>
      <c r="F15" s="501" t="s">
        <v>224</v>
      </c>
      <c r="G15" s="189" t="s">
        <v>214</v>
      </c>
      <c r="H15" s="243" t="s">
        <v>224</v>
      </c>
      <c r="I15" s="358" t="s">
        <v>15</v>
      </c>
      <c r="J15" s="243"/>
      <c r="K15" s="243" t="s">
        <v>215</v>
      </c>
      <c r="L15" s="189"/>
      <c r="M15" s="176"/>
      <c r="N15" s="174">
        <v>3700000000</v>
      </c>
      <c r="O15" s="172">
        <v>193140035</v>
      </c>
      <c r="P15" s="172"/>
      <c r="Q15" s="175">
        <f t="shared" ref="Q15:Q17" si="0">(O15/N15)*100</f>
        <v>5.2200009459459462</v>
      </c>
      <c r="R15" s="345"/>
      <c r="S15" s="176" t="s">
        <v>389</v>
      </c>
    </row>
    <row r="16" spans="1:19" s="268" customFormat="1" ht="372" customHeight="1" x14ac:dyDescent="0.3">
      <c r="A16" s="176" t="s">
        <v>21</v>
      </c>
      <c r="B16" s="176" t="s">
        <v>111</v>
      </c>
      <c r="C16" s="176" t="s">
        <v>3</v>
      </c>
      <c r="D16" s="176" t="s">
        <v>212</v>
      </c>
      <c r="E16" s="210" t="s">
        <v>217</v>
      </c>
      <c r="F16" s="501" t="s">
        <v>224</v>
      </c>
      <c r="G16" s="189" t="s">
        <v>221</v>
      </c>
      <c r="H16" s="243" t="s">
        <v>324</v>
      </c>
      <c r="I16" s="358" t="s">
        <v>219</v>
      </c>
      <c r="J16" s="243"/>
      <c r="K16" s="243" t="s">
        <v>215</v>
      </c>
      <c r="L16" s="189"/>
      <c r="M16" s="176"/>
      <c r="N16" s="174">
        <v>184400000</v>
      </c>
      <c r="O16" s="172">
        <v>19353145.890000001</v>
      </c>
      <c r="P16" s="172" t="s">
        <v>252</v>
      </c>
      <c r="Q16" s="175">
        <f t="shared" si="0"/>
        <v>10.495198421908894</v>
      </c>
      <c r="R16" s="345"/>
      <c r="S16" s="176" t="s">
        <v>356</v>
      </c>
    </row>
    <row r="17" spans="1:19" s="268" customFormat="1" ht="95.25" customHeight="1" x14ac:dyDescent="0.3">
      <c r="A17" s="176" t="s">
        <v>21</v>
      </c>
      <c r="B17" s="176" t="s">
        <v>111</v>
      </c>
      <c r="C17" s="176" t="s">
        <v>3</v>
      </c>
      <c r="D17" s="176" t="s">
        <v>212</v>
      </c>
      <c r="E17" s="210" t="s">
        <v>218</v>
      </c>
      <c r="F17" s="501" t="s">
        <v>224</v>
      </c>
      <c r="G17" s="189" t="s">
        <v>222</v>
      </c>
      <c r="H17" s="243" t="s">
        <v>318</v>
      </c>
      <c r="I17" s="358" t="s">
        <v>219</v>
      </c>
      <c r="J17" s="243"/>
      <c r="K17" s="243" t="s">
        <v>215</v>
      </c>
      <c r="L17" s="189"/>
      <c r="M17" s="176"/>
      <c r="N17" s="174">
        <v>387300000</v>
      </c>
      <c r="O17" s="172">
        <v>34240429.520000003</v>
      </c>
      <c r="P17" s="172"/>
      <c r="Q17" s="175">
        <f t="shared" si="0"/>
        <v>8.8408028711593083</v>
      </c>
      <c r="R17" s="345"/>
      <c r="S17" s="176" t="s">
        <v>357</v>
      </c>
    </row>
    <row r="18" spans="1:19" ht="408.75" customHeight="1" x14ac:dyDescent="0.3">
      <c r="A18" s="176" t="s">
        <v>21</v>
      </c>
      <c r="B18" s="176" t="s">
        <v>111</v>
      </c>
      <c r="C18" s="176" t="s">
        <v>3</v>
      </c>
      <c r="D18" s="176" t="s">
        <v>212</v>
      </c>
      <c r="E18" s="210" t="s">
        <v>250</v>
      </c>
      <c r="F18" s="501" t="s">
        <v>224</v>
      </c>
      <c r="G18" s="189" t="s">
        <v>251</v>
      </c>
      <c r="H18" s="243" t="s">
        <v>319</v>
      </c>
      <c r="I18" s="358" t="s">
        <v>219</v>
      </c>
      <c r="J18" s="243"/>
      <c r="K18" s="243" t="s">
        <v>215</v>
      </c>
      <c r="L18" s="189" t="s">
        <v>293</v>
      </c>
      <c r="M18" s="176"/>
      <c r="N18" s="174">
        <v>750000000</v>
      </c>
      <c r="O18" s="172"/>
      <c r="P18" s="172"/>
      <c r="Q18" s="175"/>
      <c r="R18" s="345"/>
      <c r="S18" s="176" t="s">
        <v>358</v>
      </c>
    </row>
    <row r="19" spans="1:19" ht="324.75" customHeight="1" x14ac:dyDescent="0.3">
      <c r="A19" s="8" t="s">
        <v>21</v>
      </c>
      <c r="B19" s="118" t="s">
        <v>111</v>
      </c>
      <c r="C19" s="8" t="s">
        <v>4</v>
      </c>
      <c r="D19" s="118" t="s">
        <v>112</v>
      </c>
      <c r="E19" s="103" t="s">
        <v>479</v>
      </c>
      <c r="F19" s="502" t="s">
        <v>224</v>
      </c>
      <c r="G19" s="267" t="s">
        <v>243</v>
      </c>
      <c r="H19" s="308" t="s">
        <v>320</v>
      </c>
      <c r="I19" s="262" t="s">
        <v>23</v>
      </c>
      <c r="J19" s="261" t="s">
        <v>69</v>
      </c>
      <c r="K19" s="261"/>
      <c r="L19" s="339" t="s">
        <v>605</v>
      </c>
      <c r="M19" s="267" t="s">
        <v>606</v>
      </c>
      <c r="N19" s="240">
        <v>200000000</v>
      </c>
      <c r="O19" s="173">
        <v>6742617.1299999999</v>
      </c>
      <c r="P19" s="241"/>
      <c r="Q19" s="12"/>
      <c r="R19" s="391"/>
      <c r="S19" s="260" t="s">
        <v>533</v>
      </c>
    </row>
    <row r="20" spans="1:19" ht="324.75" customHeight="1" x14ac:dyDescent="0.3">
      <c r="A20" s="8" t="s">
        <v>21</v>
      </c>
      <c r="B20" s="118" t="s">
        <v>111</v>
      </c>
      <c r="C20" s="8" t="s">
        <v>4</v>
      </c>
      <c r="D20" s="118" t="s">
        <v>112</v>
      </c>
      <c r="E20" s="103" t="s">
        <v>247</v>
      </c>
      <c r="F20" s="502" t="s">
        <v>468</v>
      </c>
      <c r="G20" s="267" t="s">
        <v>243</v>
      </c>
      <c r="H20" s="309" t="s">
        <v>321</v>
      </c>
      <c r="I20" s="262" t="s">
        <v>23</v>
      </c>
      <c r="J20" s="261" t="s">
        <v>248</v>
      </c>
      <c r="K20" s="261"/>
      <c r="L20" s="267" t="s">
        <v>249</v>
      </c>
      <c r="M20" s="260"/>
      <c r="N20" s="340" t="s">
        <v>431</v>
      </c>
      <c r="O20" s="259">
        <f>1067249.99+5029276.95</f>
        <v>6096526.9400000004</v>
      </c>
      <c r="P20" s="241" t="s">
        <v>709</v>
      </c>
      <c r="Q20" s="12"/>
      <c r="R20" s="343" t="s">
        <v>607</v>
      </c>
      <c r="S20" s="260" t="s">
        <v>430</v>
      </c>
    </row>
    <row r="21" spans="1:19" ht="296.25" customHeight="1" x14ac:dyDescent="0.3">
      <c r="A21" s="8" t="s">
        <v>21</v>
      </c>
      <c r="B21" s="118" t="s">
        <v>111</v>
      </c>
      <c r="C21" s="8" t="s">
        <v>4</v>
      </c>
      <c r="D21" s="118" t="s">
        <v>112</v>
      </c>
      <c r="E21" s="103" t="s">
        <v>208</v>
      </c>
      <c r="F21" s="502" t="s">
        <v>468</v>
      </c>
      <c r="G21" s="239" t="s">
        <v>210</v>
      </c>
      <c r="H21" s="242" t="s">
        <v>322</v>
      </c>
      <c r="I21" s="10" t="s">
        <v>23</v>
      </c>
      <c r="J21" s="242" t="s">
        <v>209</v>
      </c>
      <c r="K21" s="242"/>
      <c r="L21" s="239"/>
      <c r="M21" s="118"/>
      <c r="N21" s="240">
        <v>200000000</v>
      </c>
      <c r="O21" s="241">
        <v>22170609.109999999</v>
      </c>
      <c r="P21" s="241" t="s">
        <v>449</v>
      </c>
      <c r="Q21" s="12"/>
      <c r="R21" s="345"/>
      <c r="S21" s="118" t="s">
        <v>359</v>
      </c>
    </row>
    <row r="22" spans="1:19" ht="313.5" customHeight="1" x14ac:dyDescent="0.3">
      <c r="A22" s="8" t="s">
        <v>21</v>
      </c>
      <c r="B22" s="118" t="s">
        <v>111</v>
      </c>
      <c r="C22" s="8" t="s">
        <v>4</v>
      </c>
      <c r="D22" s="118" t="s">
        <v>112</v>
      </c>
      <c r="E22" s="103" t="s">
        <v>22</v>
      </c>
      <c r="F22" s="502" t="s">
        <v>202</v>
      </c>
      <c r="G22" s="162" t="s">
        <v>534</v>
      </c>
      <c r="H22" s="311" t="s">
        <v>488</v>
      </c>
      <c r="I22" s="477" t="s">
        <v>23</v>
      </c>
      <c r="J22" s="341" t="s">
        <v>69</v>
      </c>
      <c r="K22" s="118" t="s">
        <v>432</v>
      </c>
      <c r="L22" s="162" t="s">
        <v>612</v>
      </c>
      <c r="M22" s="239" t="s">
        <v>658</v>
      </c>
      <c r="N22" s="393" t="s">
        <v>535</v>
      </c>
      <c r="O22" s="359">
        <v>27793942.469999999</v>
      </c>
      <c r="P22" s="362" t="s">
        <v>672</v>
      </c>
      <c r="Q22" s="12" t="e">
        <f>(O22/N22)*100</f>
        <v>#VALUE!</v>
      </c>
      <c r="R22" s="345"/>
      <c r="S22" s="342" t="s">
        <v>489</v>
      </c>
    </row>
    <row r="23" spans="1:19" ht="296.25" customHeight="1" x14ac:dyDescent="0.3">
      <c r="A23" s="8" t="s">
        <v>21</v>
      </c>
      <c r="B23" s="118" t="s">
        <v>111</v>
      </c>
      <c r="C23" s="8" t="s">
        <v>4</v>
      </c>
      <c r="D23" s="118" t="s">
        <v>112</v>
      </c>
      <c r="E23" s="209" t="s">
        <v>24</v>
      </c>
      <c r="F23" s="502" t="s">
        <v>202</v>
      </c>
      <c r="G23" s="162" t="s">
        <v>487</v>
      </c>
      <c r="H23" s="242" t="s">
        <v>325</v>
      </c>
      <c r="I23" s="9" t="s">
        <v>23</v>
      </c>
      <c r="J23" s="242" t="s">
        <v>486</v>
      </c>
      <c r="K23" s="242" t="s">
        <v>486</v>
      </c>
      <c r="L23" s="162" t="s">
        <v>536</v>
      </c>
      <c r="M23" s="9"/>
      <c r="N23" s="11">
        <v>420000000</v>
      </c>
      <c r="O23" s="13">
        <v>18452500</v>
      </c>
      <c r="P23" s="173" t="s">
        <v>448</v>
      </c>
      <c r="Q23" s="12">
        <f>(O23/N23)*100</f>
        <v>4.3934523809523816</v>
      </c>
      <c r="R23" s="343" t="s">
        <v>608</v>
      </c>
      <c r="S23" s="361"/>
    </row>
    <row r="24" spans="1:19" ht="304.5" customHeight="1" x14ac:dyDescent="0.3">
      <c r="A24" s="8" t="s">
        <v>21</v>
      </c>
      <c r="B24" s="118" t="s">
        <v>111</v>
      </c>
      <c r="C24" s="8" t="s">
        <v>4</v>
      </c>
      <c r="D24" s="118" t="s">
        <v>112</v>
      </c>
      <c r="E24" s="209" t="s">
        <v>24</v>
      </c>
      <c r="F24" s="502" t="s">
        <v>202</v>
      </c>
      <c r="G24" s="162" t="s">
        <v>490</v>
      </c>
      <c r="H24" s="242" t="s">
        <v>325</v>
      </c>
      <c r="I24" s="9" t="s">
        <v>23</v>
      </c>
      <c r="J24" s="116" t="s">
        <v>47</v>
      </c>
      <c r="K24" s="116" t="s">
        <v>47</v>
      </c>
      <c r="L24" s="162" t="s">
        <v>609</v>
      </c>
      <c r="M24" s="162" t="s">
        <v>491</v>
      </c>
      <c r="N24" s="11">
        <v>580000000</v>
      </c>
      <c r="O24" s="13">
        <v>33497008.800000001</v>
      </c>
      <c r="P24" s="173" t="s">
        <v>492</v>
      </c>
      <c r="Q24" s="12">
        <f>(O24/N24)*100</f>
        <v>5.7753463448275868</v>
      </c>
      <c r="R24" s="410" t="s">
        <v>610</v>
      </c>
      <c r="S24" s="118" t="s">
        <v>611</v>
      </c>
    </row>
    <row r="25" spans="1:19" ht="308.25" customHeight="1" x14ac:dyDescent="0.3">
      <c r="A25" s="8" t="s">
        <v>21</v>
      </c>
      <c r="B25" s="118" t="s">
        <v>111</v>
      </c>
      <c r="C25" s="8" t="s">
        <v>4</v>
      </c>
      <c r="D25" s="118" t="s">
        <v>112</v>
      </c>
      <c r="E25" s="103" t="s">
        <v>211</v>
      </c>
      <c r="F25" s="502" t="s">
        <v>468</v>
      </c>
      <c r="G25" s="244" t="s">
        <v>220</v>
      </c>
      <c r="H25" s="311" t="s">
        <v>326</v>
      </c>
      <c r="I25" s="10" t="s">
        <v>23</v>
      </c>
      <c r="J25" s="116"/>
      <c r="K25" s="116" t="s">
        <v>279</v>
      </c>
      <c r="L25" s="267" t="s">
        <v>244</v>
      </c>
      <c r="M25" s="267" t="s">
        <v>246</v>
      </c>
      <c r="N25" s="258" t="s">
        <v>245</v>
      </c>
      <c r="O25" s="259">
        <v>17605073.809999999</v>
      </c>
      <c r="P25" s="259" t="s">
        <v>268</v>
      </c>
      <c r="Q25" s="12"/>
      <c r="R25" s="343" t="s">
        <v>554</v>
      </c>
      <c r="S25" s="260" t="s">
        <v>360</v>
      </c>
    </row>
    <row r="26" spans="1:19" ht="206.25" customHeight="1" x14ac:dyDescent="0.3">
      <c r="A26" s="8" t="s">
        <v>21</v>
      </c>
      <c r="B26" s="118" t="s">
        <v>111</v>
      </c>
      <c r="C26" s="8" t="s">
        <v>4</v>
      </c>
      <c r="D26" s="118" t="s">
        <v>112</v>
      </c>
      <c r="E26" s="103" t="s">
        <v>450</v>
      </c>
      <c r="F26" s="502" t="s">
        <v>468</v>
      </c>
      <c r="G26" s="309" t="s">
        <v>452</v>
      </c>
      <c r="H26" s="309" t="s">
        <v>321</v>
      </c>
      <c r="I26" s="262" t="s">
        <v>23</v>
      </c>
      <c r="J26" s="116" t="s">
        <v>451</v>
      </c>
      <c r="K26" s="116"/>
      <c r="L26" s="267"/>
      <c r="M26" s="267"/>
      <c r="N26" s="258"/>
      <c r="O26" s="259">
        <v>5740000</v>
      </c>
      <c r="P26" s="348" t="s">
        <v>452</v>
      </c>
      <c r="Q26" s="12"/>
      <c r="R26" s="343"/>
      <c r="S26" s="260"/>
    </row>
    <row r="27" spans="1:19" ht="206.25" customHeight="1" x14ac:dyDescent="0.3">
      <c r="A27" s="8" t="s">
        <v>21</v>
      </c>
      <c r="B27" s="118" t="s">
        <v>111</v>
      </c>
      <c r="C27" s="8" t="s">
        <v>4</v>
      </c>
      <c r="D27" s="118" t="s">
        <v>112</v>
      </c>
      <c r="E27" s="103" t="s">
        <v>675</v>
      </c>
      <c r="F27" s="502" t="s">
        <v>469</v>
      </c>
      <c r="G27" s="309"/>
      <c r="H27" s="309" t="s">
        <v>321</v>
      </c>
      <c r="I27" s="262"/>
      <c r="J27" s="116"/>
      <c r="K27" s="116"/>
      <c r="L27" s="267"/>
      <c r="M27" s="267"/>
      <c r="N27" s="258">
        <v>1450000000</v>
      </c>
      <c r="O27" s="259">
        <v>101574000</v>
      </c>
      <c r="P27" s="348" t="s">
        <v>676</v>
      </c>
      <c r="Q27" s="12"/>
      <c r="R27" s="343"/>
      <c r="S27" s="260"/>
    </row>
    <row r="28" spans="1:19" ht="267.75" customHeight="1" x14ac:dyDescent="0.3">
      <c r="A28" s="8" t="s">
        <v>21</v>
      </c>
      <c r="B28" s="118" t="s">
        <v>111</v>
      </c>
      <c r="C28" s="8" t="s">
        <v>4</v>
      </c>
      <c r="D28" s="118" t="s">
        <v>112</v>
      </c>
      <c r="E28" s="103" t="s">
        <v>433</v>
      </c>
      <c r="F28" s="502"/>
      <c r="G28" s="244"/>
      <c r="H28" s="311" t="s">
        <v>327</v>
      </c>
      <c r="I28" s="10" t="s">
        <v>303</v>
      </c>
      <c r="J28" s="116" t="s">
        <v>304</v>
      </c>
      <c r="K28" s="116"/>
      <c r="L28" s="267" t="s">
        <v>613</v>
      </c>
      <c r="M28" s="427" t="s">
        <v>614</v>
      </c>
      <c r="N28" s="258" t="s">
        <v>434</v>
      </c>
      <c r="O28" s="259" t="s">
        <v>305</v>
      </c>
      <c r="P28" s="13"/>
      <c r="Q28" s="12"/>
      <c r="R28" s="345"/>
      <c r="S28" s="260" t="s">
        <v>361</v>
      </c>
    </row>
    <row r="29" spans="1:19" ht="158.25" customHeight="1" x14ac:dyDescent="0.3">
      <c r="A29" s="14" t="s">
        <v>2</v>
      </c>
      <c r="B29" s="14" t="s">
        <v>113</v>
      </c>
      <c r="C29" s="60" t="s">
        <v>8</v>
      </c>
      <c r="D29" s="14" t="s">
        <v>234</v>
      </c>
      <c r="E29" s="254" t="s">
        <v>238</v>
      </c>
      <c r="F29" s="286" t="s">
        <v>693</v>
      </c>
      <c r="G29" s="255" t="s">
        <v>235</v>
      </c>
      <c r="H29" s="312" t="s">
        <v>335</v>
      </c>
      <c r="I29" s="15" t="s">
        <v>25</v>
      </c>
      <c r="J29" s="16" t="s">
        <v>47</v>
      </c>
      <c r="K29" s="16"/>
      <c r="L29" s="166"/>
      <c r="M29" s="256">
        <v>44606</v>
      </c>
      <c r="N29" s="17">
        <v>1500000000</v>
      </c>
      <c r="O29" s="252">
        <f>33238594+18521410.5</f>
        <v>51760004.5</v>
      </c>
      <c r="P29" s="18" t="s">
        <v>702</v>
      </c>
      <c r="Q29" s="253"/>
      <c r="R29" s="343" t="s">
        <v>296</v>
      </c>
      <c r="S29" s="323" t="s">
        <v>362</v>
      </c>
    </row>
    <row r="30" spans="1:19" ht="310" x14ac:dyDescent="0.3">
      <c r="A30" s="14" t="s">
        <v>2</v>
      </c>
      <c r="B30" s="14" t="s">
        <v>113</v>
      </c>
      <c r="C30" s="60" t="s">
        <v>8</v>
      </c>
      <c r="D30" s="14" t="s">
        <v>234</v>
      </c>
      <c r="E30" s="324" t="s">
        <v>239</v>
      </c>
      <c r="F30" s="286" t="s">
        <v>693</v>
      </c>
      <c r="G30" s="255" t="s">
        <v>236</v>
      </c>
      <c r="H30" s="312" t="s">
        <v>337</v>
      </c>
      <c r="I30" s="15" t="s">
        <v>25</v>
      </c>
      <c r="J30" s="15" t="s">
        <v>25</v>
      </c>
      <c r="K30" s="16" t="s">
        <v>237</v>
      </c>
      <c r="L30" s="166"/>
      <c r="M30" s="256">
        <v>44606</v>
      </c>
      <c r="N30" s="17">
        <v>600000000</v>
      </c>
      <c r="O30" s="252"/>
      <c r="P30" s="252"/>
      <c r="Q30" s="253"/>
      <c r="R30" s="343" t="s">
        <v>540</v>
      </c>
      <c r="S30" s="323" t="s">
        <v>363</v>
      </c>
    </row>
    <row r="31" spans="1:19" ht="59.5" customHeight="1" x14ac:dyDescent="0.3">
      <c r="A31" s="14" t="s">
        <v>2</v>
      </c>
      <c r="B31" s="14" t="s">
        <v>113</v>
      </c>
      <c r="C31" s="60" t="s">
        <v>8</v>
      </c>
      <c r="D31" s="14" t="s">
        <v>234</v>
      </c>
      <c r="E31" s="324" t="s">
        <v>710</v>
      </c>
      <c r="F31" s="286" t="s">
        <v>714</v>
      </c>
      <c r="G31" s="255"/>
      <c r="H31" s="312"/>
      <c r="I31" s="15" t="s">
        <v>711</v>
      </c>
      <c r="J31" s="15"/>
      <c r="K31" s="16"/>
      <c r="L31" s="166"/>
      <c r="M31" s="17"/>
      <c r="N31" s="17">
        <v>800000000</v>
      </c>
      <c r="O31" s="252">
        <v>10000000</v>
      </c>
      <c r="P31" s="352" t="s">
        <v>712</v>
      </c>
      <c r="Q31" s="253"/>
      <c r="R31" s="343"/>
      <c r="S31" s="323"/>
    </row>
    <row r="32" spans="1:19" ht="131.25" customHeight="1" x14ac:dyDescent="0.3">
      <c r="A32" s="14" t="s">
        <v>2</v>
      </c>
      <c r="B32" s="14" t="s">
        <v>113</v>
      </c>
      <c r="C32" s="60" t="s">
        <v>8</v>
      </c>
      <c r="D32" s="14" t="s">
        <v>234</v>
      </c>
      <c r="E32" s="324" t="s">
        <v>471</v>
      </c>
      <c r="F32" s="286" t="s">
        <v>699</v>
      </c>
      <c r="G32" s="255" t="s">
        <v>473</v>
      </c>
      <c r="H32" s="312"/>
      <c r="I32" s="15" t="s">
        <v>474</v>
      </c>
      <c r="J32" s="312" t="s">
        <v>47</v>
      </c>
      <c r="K32" s="16"/>
      <c r="L32" s="166"/>
      <c r="M32" s="323" t="s">
        <v>472</v>
      </c>
      <c r="N32" s="17">
        <v>129000000</v>
      </c>
      <c r="O32" s="252">
        <f>7830000+2493123</f>
        <v>10323123</v>
      </c>
      <c r="P32" s="352" t="s">
        <v>713</v>
      </c>
      <c r="Q32" s="253">
        <f>O32/N32*100</f>
        <v>8.0024209302325584</v>
      </c>
      <c r="R32" s="343"/>
      <c r="S32" s="323" t="s">
        <v>482</v>
      </c>
    </row>
    <row r="33" spans="1:19" ht="175.5" customHeight="1" x14ac:dyDescent="0.3">
      <c r="A33" s="14" t="s">
        <v>2</v>
      </c>
      <c r="B33" s="14" t="s">
        <v>113</v>
      </c>
      <c r="C33" s="14" t="s">
        <v>3</v>
      </c>
      <c r="D33" s="14" t="s">
        <v>114</v>
      </c>
      <c r="E33" s="104" t="s">
        <v>87</v>
      </c>
      <c r="F33" s="104" t="s">
        <v>693</v>
      </c>
      <c r="G33" s="57"/>
      <c r="H33" s="312" t="s">
        <v>328</v>
      </c>
      <c r="I33" s="15" t="s">
        <v>25</v>
      </c>
      <c r="J33" s="60"/>
      <c r="K33" s="60"/>
      <c r="L33" s="60"/>
      <c r="M33" s="270"/>
      <c r="N33" s="17">
        <v>2200000000</v>
      </c>
      <c r="O33" s="18"/>
      <c r="P33" s="18"/>
      <c r="Q33" s="19"/>
      <c r="R33" s="343" t="s">
        <v>539</v>
      </c>
      <c r="S33" s="14" t="s">
        <v>364</v>
      </c>
    </row>
    <row r="34" spans="1:19" ht="175.5" customHeight="1" x14ac:dyDescent="0.3">
      <c r="A34" s="14" t="s">
        <v>2</v>
      </c>
      <c r="B34" s="14" t="s">
        <v>113</v>
      </c>
      <c r="C34" s="14" t="s">
        <v>3</v>
      </c>
      <c r="D34" s="14" t="s">
        <v>114</v>
      </c>
      <c r="E34" s="104" t="s">
        <v>696</v>
      </c>
      <c r="F34" s="104" t="s">
        <v>693</v>
      </c>
      <c r="G34" s="57"/>
      <c r="H34" s="312" t="s">
        <v>328</v>
      </c>
      <c r="I34" s="15" t="s">
        <v>25</v>
      </c>
      <c r="J34" s="60"/>
      <c r="K34" s="60"/>
      <c r="L34" s="60"/>
      <c r="M34" s="270"/>
      <c r="N34" s="17">
        <v>3610000000</v>
      </c>
      <c r="O34" s="18">
        <f>203474816+17927800+141131934</f>
        <v>362534550</v>
      </c>
      <c r="P34" s="18"/>
      <c r="Q34" s="19"/>
      <c r="R34" s="343"/>
      <c r="S34" s="14"/>
    </row>
    <row r="35" spans="1:19" ht="175.5" customHeight="1" x14ac:dyDescent="0.3">
      <c r="A35" s="14" t="s">
        <v>2</v>
      </c>
      <c r="B35" s="14" t="s">
        <v>113</v>
      </c>
      <c r="C35" s="14" t="s">
        <v>3</v>
      </c>
      <c r="D35" s="14" t="s">
        <v>114</v>
      </c>
      <c r="E35" s="104" t="s">
        <v>703</v>
      </c>
      <c r="F35" s="104" t="s">
        <v>699</v>
      </c>
      <c r="G35" s="57"/>
      <c r="H35" s="312"/>
      <c r="I35" s="15" t="s">
        <v>25</v>
      </c>
      <c r="J35" s="60"/>
      <c r="K35" s="60"/>
      <c r="L35" s="60"/>
      <c r="M35" s="270"/>
      <c r="N35" s="17">
        <v>500000000</v>
      </c>
      <c r="O35" s="18">
        <f>44564058+5324200</f>
        <v>49888258</v>
      </c>
      <c r="P35" s="18"/>
      <c r="Q35" s="19"/>
      <c r="R35" s="343"/>
      <c r="S35" s="14"/>
    </row>
    <row r="36" spans="1:19" ht="166.5" x14ac:dyDescent="0.3">
      <c r="A36" s="14" t="s">
        <v>2</v>
      </c>
      <c r="B36" s="14" t="s">
        <v>113</v>
      </c>
      <c r="C36" s="14" t="s">
        <v>3</v>
      </c>
      <c r="D36" s="14" t="s">
        <v>114</v>
      </c>
      <c r="E36" s="104" t="s">
        <v>227</v>
      </c>
      <c r="F36" s="104" t="s">
        <v>153</v>
      </c>
      <c r="G36" s="57" t="s">
        <v>228</v>
      </c>
      <c r="H36" s="312" t="s">
        <v>329</v>
      </c>
      <c r="I36" s="15" t="s">
        <v>25</v>
      </c>
      <c r="J36" s="16" t="s">
        <v>69</v>
      </c>
      <c r="K36" s="16"/>
      <c r="L36" s="57" t="s">
        <v>230</v>
      </c>
      <c r="M36" s="166" t="s">
        <v>229</v>
      </c>
      <c r="N36" s="17">
        <v>500000000</v>
      </c>
      <c r="O36" s="18">
        <v>33500000</v>
      </c>
      <c r="P36" s="18"/>
      <c r="Q36" s="19"/>
      <c r="R36" s="343" t="s">
        <v>659</v>
      </c>
      <c r="S36" s="14" t="s">
        <v>365</v>
      </c>
    </row>
    <row r="37" spans="1:19" ht="239.25" customHeight="1" x14ac:dyDescent="0.3">
      <c r="A37" s="212" t="s">
        <v>2</v>
      </c>
      <c r="B37" s="213" t="s">
        <v>113</v>
      </c>
      <c r="C37" s="212" t="s">
        <v>3</v>
      </c>
      <c r="D37" s="213" t="s">
        <v>114</v>
      </c>
      <c r="E37" s="214" t="s">
        <v>142</v>
      </c>
      <c r="F37" s="214" t="s">
        <v>192</v>
      </c>
      <c r="G37" s="215" t="s">
        <v>671</v>
      </c>
      <c r="H37" s="101" t="s">
        <v>329</v>
      </c>
      <c r="I37" s="216" t="s">
        <v>15</v>
      </c>
      <c r="J37" s="101" t="s">
        <v>559</v>
      </c>
      <c r="K37" s="23" t="s">
        <v>558</v>
      </c>
      <c r="L37" s="217"/>
      <c r="M37" s="271"/>
      <c r="N37" s="218">
        <v>300000000</v>
      </c>
      <c r="O37" s="211" t="s">
        <v>168</v>
      </c>
      <c r="P37" s="211"/>
      <c r="Q37" s="177"/>
      <c r="R37" s="456" t="s">
        <v>646</v>
      </c>
      <c r="S37" s="213" t="s">
        <v>583</v>
      </c>
    </row>
    <row r="38" spans="1:19" ht="223.5" customHeight="1" x14ac:dyDescent="0.3">
      <c r="A38" s="14" t="s">
        <v>2</v>
      </c>
      <c r="B38" s="14" t="s">
        <v>113</v>
      </c>
      <c r="C38" s="14" t="s">
        <v>3</v>
      </c>
      <c r="D38" s="14" t="s">
        <v>114</v>
      </c>
      <c r="E38" s="286" t="s">
        <v>297</v>
      </c>
      <c r="F38" s="286"/>
      <c r="G38" s="287" t="s">
        <v>298</v>
      </c>
      <c r="H38" s="312" t="s">
        <v>329</v>
      </c>
      <c r="I38" s="58" t="s">
        <v>25</v>
      </c>
      <c r="J38" s="16" t="s">
        <v>25</v>
      </c>
      <c r="K38" s="16"/>
      <c r="L38" s="287" t="s">
        <v>299</v>
      </c>
      <c r="M38" s="298" t="s">
        <v>300</v>
      </c>
      <c r="N38" s="250">
        <v>50000000</v>
      </c>
      <c r="O38" s="288"/>
      <c r="P38" s="288"/>
      <c r="Q38" s="289"/>
      <c r="R38" s="343"/>
      <c r="S38" s="324" t="s">
        <v>366</v>
      </c>
    </row>
    <row r="39" spans="1:19" ht="408.75" customHeight="1" x14ac:dyDescent="0.3">
      <c r="A39" s="20" t="s">
        <v>2</v>
      </c>
      <c r="B39" s="20" t="s">
        <v>113</v>
      </c>
      <c r="C39" s="20" t="s">
        <v>3</v>
      </c>
      <c r="D39" s="20" t="s">
        <v>114</v>
      </c>
      <c r="E39" s="105" t="s">
        <v>57</v>
      </c>
      <c r="F39" s="105" t="s">
        <v>309</v>
      </c>
      <c r="G39" s="72" t="s">
        <v>144</v>
      </c>
      <c r="H39" s="317" t="s">
        <v>330</v>
      </c>
      <c r="I39" s="22" t="s">
        <v>15</v>
      </c>
      <c r="J39" s="294" t="s">
        <v>47</v>
      </c>
      <c r="K39" s="294"/>
      <c r="L39" s="20" t="s">
        <v>285</v>
      </c>
      <c r="M39" s="70"/>
      <c r="N39" s="73">
        <v>150000000</v>
      </c>
      <c r="O39" s="24">
        <v>13178033</v>
      </c>
      <c r="P39" s="24"/>
      <c r="Q39" s="25">
        <f t="shared" ref="Q39" si="1">(O39/N39)*100</f>
        <v>8.7853553333333334</v>
      </c>
      <c r="R39" s="345"/>
      <c r="S39" s="325" t="s">
        <v>367</v>
      </c>
    </row>
    <row r="40" spans="1:19" ht="405" customHeight="1" x14ac:dyDescent="0.3">
      <c r="A40" s="20" t="s">
        <v>2</v>
      </c>
      <c r="B40" s="20" t="s">
        <v>113</v>
      </c>
      <c r="C40" s="20" t="s">
        <v>3</v>
      </c>
      <c r="D40" s="20" t="s">
        <v>114</v>
      </c>
      <c r="E40" s="105" t="s">
        <v>57</v>
      </c>
      <c r="F40" s="105" t="s">
        <v>309</v>
      </c>
      <c r="G40" s="72" t="s">
        <v>421</v>
      </c>
      <c r="H40" s="317" t="s">
        <v>330</v>
      </c>
      <c r="I40" s="22" t="s">
        <v>15</v>
      </c>
      <c r="J40" s="23" t="s">
        <v>69</v>
      </c>
      <c r="K40" s="23" t="s">
        <v>185</v>
      </c>
      <c r="L40" s="26"/>
      <c r="M40" s="70"/>
      <c r="N40" s="24">
        <v>51000000</v>
      </c>
      <c r="O40" s="24">
        <v>27000000</v>
      </c>
      <c r="P40" s="24"/>
      <c r="Q40" s="25">
        <f>(O40/N40)*100</f>
        <v>52.941176470588239</v>
      </c>
      <c r="R40" s="457" t="s">
        <v>647</v>
      </c>
      <c r="S40" s="325" t="s">
        <v>367</v>
      </c>
    </row>
    <row r="41" spans="1:19" ht="208.5" customHeight="1" x14ac:dyDescent="0.3">
      <c r="A41" s="20" t="s">
        <v>2</v>
      </c>
      <c r="B41" s="20" t="s">
        <v>113</v>
      </c>
      <c r="C41" s="20" t="s">
        <v>3</v>
      </c>
      <c r="D41" s="20" t="s">
        <v>114</v>
      </c>
      <c r="E41" s="105" t="s">
        <v>57</v>
      </c>
      <c r="F41" s="105" t="s">
        <v>309</v>
      </c>
      <c r="G41" s="72" t="s">
        <v>311</v>
      </c>
      <c r="H41" s="317" t="s">
        <v>330</v>
      </c>
      <c r="I41" s="22" t="s">
        <v>15</v>
      </c>
      <c r="J41" s="307"/>
      <c r="K41" s="23" t="s">
        <v>255</v>
      </c>
      <c r="L41" s="26"/>
      <c r="M41" s="70"/>
      <c r="N41" s="24">
        <v>22500000</v>
      </c>
      <c r="O41" s="24">
        <v>0</v>
      </c>
      <c r="P41" s="24"/>
      <c r="Q41" s="25">
        <f t="shared" ref="Q41:Q42" si="2">(O41/N41)*100</f>
        <v>0</v>
      </c>
      <c r="R41" s="410" t="s">
        <v>582</v>
      </c>
      <c r="S41" s="325" t="s">
        <v>367</v>
      </c>
    </row>
    <row r="42" spans="1:19" ht="252" customHeight="1" x14ac:dyDescent="0.3">
      <c r="A42" s="20" t="s">
        <v>2</v>
      </c>
      <c r="B42" s="20" t="s">
        <v>113</v>
      </c>
      <c r="C42" s="20" t="s">
        <v>3</v>
      </c>
      <c r="D42" s="20" t="s">
        <v>114</v>
      </c>
      <c r="E42" s="105" t="s">
        <v>57</v>
      </c>
      <c r="F42" s="105" t="s">
        <v>309</v>
      </c>
      <c r="G42" s="72" t="s">
        <v>509</v>
      </c>
      <c r="H42" s="317" t="s">
        <v>330</v>
      </c>
      <c r="I42" s="22" t="s">
        <v>15</v>
      </c>
      <c r="J42" s="23" t="s">
        <v>69</v>
      </c>
      <c r="K42" s="23" t="s">
        <v>313</v>
      </c>
      <c r="L42" s="26"/>
      <c r="M42" s="70"/>
      <c r="N42" s="24">
        <v>30000000</v>
      </c>
      <c r="O42" s="24">
        <v>12539913</v>
      </c>
      <c r="P42" s="24"/>
      <c r="Q42" s="25">
        <f t="shared" si="2"/>
        <v>41.799710000000005</v>
      </c>
      <c r="R42" s="410" t="s">
        <v>648</v>
      </c>
      <c r="S42" s="325" t="s">
        <v>367</v>
      </c>
    </row>
    <row r="43" spans="1:19" ht="299.25" customHeight="1" x14ac:dyDescent="0.3">
      <c r="A43" s="20" t="s">
        <v>2</v>
      </c>
      <c r="B43" s="20" t="s">
        <v>113</v>
      </c>
      <c r="C43" s="20" t="s">
        <v>3</v>
      </c>
      <c r="D43" s="20" t="s">
        <v>114</v>
      </c>
      <c r="E43" s="105" t="s">
        <v>54</v>
      </c>
      <c r="F43" s="105" t="s">
        <v>193</v>
      </c>
      <c r="G43" s="72" t="s">
        <v>272</v>
      </c>
      <c r="H43" s="317" t="s">
        <v>330</v>
      </c>
      <c r="I43" s="22" t="s">
        <v>15</v>
      </c>
      <c r="J43" s="161" t="s">
        <v>103</v>
      </c>
      <c r="K43" s="161"/>
      <c r="L43" s="26"/>
      <c r="M43" s="70"/>
      <c r="N43" s="514">
        <v>3600000000</v>
      </c>
      <c r="O43" s="24">
        <v>359545887.06999999</v>
      </c>
      <c r="P43" s="263"/>
      <c r="Q43" s="517"/>
      <c r="R43" s="345"/>
      <c r="S43" s="326" t="s">
        <v>368</v>
      </c>
    </row>
    <row r="44" spans="1:19" ht="116" x14ac:dyDescent="0.3">
      <c r="A44" s="20" t="s">
        <v>2</v>
      </c>
      <c r="B44" s="20" t="s">
        <v>113</v>
      </c>
      <c r="C44" s="20" t="s">
        <v>3</v>
      </c>
      <c r="D44" s="20" t="s">
        <v>114</v>
      </c>
      <c r="E44" s="105" t="s">
        <v>54</v>
      </c>
      <c r="F44" s="105" t="s">
        <v>193</v>
      </c>
      <c r="G44" s="411" t="s">
        <v>561</v>
      </c>
      <c r="H44" s="317" t="s">
        <v>331</v>
      </c>
      <c r="I44" s="22" t="s">
        <v>15</v>
      </c>
      <c r="J44" s="161" t="s">
        <v>104</v>
      </c>
      <c r="K44" s="213" t="s">
        <v>560</v>
      </c>
      <c r="L44" s="70"/>
      <c r="M44" s="71"/>
      <c r="N44" s="515"/>
      <c r="O44" s="24">
        <v>80000000</v>
      </c>
      <c r="P44" s="264"/>
      <c r="Q44" s="518"/>
      <c r="R44" s="410" t="s">
        <v>562</v>
      </c>
      <c r="S44" s="326" t="s">
        <v>368</v>
      </c>
    </row>
    <row r="45" spans="1:19" ht="409.5" customHeight="1" x14ac:dyDescent="0.3">
      <c r="A45" s="20" t="s">
        <v>2</v>
      </c>
      <c r="B45" s="20" t="s">
        <v>113</v>
      </c>
      <c r="C45" s="20" t="s">
        <v>3</v>
      </c>
      <c r="D45" s="20" t="s">
        <v>114</v>
      </c>
      <c r="E45" s="105" t="s">
        <v>54</v>
      </c>
      <c r="F45" s="105" t="s">
        <v>193</v>
      </c>
      <c r="G45" s="21" t="s">
        <v>271</v>
      </c>
      <c r="H45" s="317" t="s">
        <v>332</v>
      </c>
      <c r="I45" s="22" t="s">
        <v>15</v>
      </c>
      <c r="J45" s="161" t="s">
        <v>104</v>
      </c>
      <c r="K45" s="161"/>
      <c r="L45" s="70"/>
      <c r="M45" s="71"/>
      <c r="N45" s="515"/>
      <c r="O45" s="24">
        <v>50000000</v>
      </c>
      <c r="P45" s="264"/>
      <c r="Q45" s="518"/>
      <c r="R45" s="412" t="s">
        <v>563</v>
      </c>
      <c r="S45" s="326" t="s">
        <v>368</v>
      </c>
    </row>
    <row r="46" spans="1:19" ht="236.25" customHeight="1" x14ac:dyDescent="0.3">
      <c r="A46" s="20" t="s">
        <v>2</v>
      </c>
      <c r="B46" s="20" t="s">
        <v>113</v>
      </c>
      <c r="C46" s="20" t="s">
        <v>3</v>
      </c>
      <c r="D46" s="20" t="s">
        <v>114</v>
      </c>
      <c r="E46" s="105" t="s">
        <v>54</v>
      </c>
      <c r="F46" s="105" t="s">
        <v>193</v>
      </c>
      <c r="G46" s="72" t="s">
        <v>126</v>
      </c>
      <c r="H46" s="317" t="s">
        <v>332</v>
      </c>
      <c r="I46" s="22" t="s">
        <v>15</v>
      </c>
      <c r="J46" s="161" t="s">
        <v>67</v>
      </c>
      <c r="K46" s="161"/>
      <c r="L46" s="27"/>
      <c r="M46" s="70"/>
      <c r="N46" s="516"/>
      <c r="O46" s="24">
        <v>156471472.21000001</v>
      </c>
      <c r="P46" s="265"/>
      <c r="Q46" s="519"/>
      <c r="R46" s="345"/>
      <c r="S46" s="326" t="s">
        <v>425</v>
      </c>
    </row>
    <row r="47" spans="1:19" ht="308.25" customHeight="1" x14ac:dyDescent="0.3">
      <c r="A47" s="20" t="s">
        <v>2</v>
      </c>
      <c r="B47" s="20" t="s">
        <v>113</v>
      </c>
      <c r="C47" s="20" t="s">
        <v>3</v>
      </c>
      <c r="D47" s="20" t="s">
        <v>114</v>
      </c>
      <c r="E47" s="105" t="s">
        <v>94</v>
      </c>
      <c r="F47" s="105" t="s">
        <v>153</v>
      </c>
      <c r="G47" s="29" t="s">
        <v>564</v>
      </c>
      <c r="H47" s="317" t="s">
        <v>331</v>
      </c>
      <c r="I47" s="22" t="s">
        <v>15</v>
      </c>
      <c r="J47" s="23" t="s">
        <v>69</v>
      </c>
      <c r="K47" s="23"/>
      <c r="L47" s="337" t="s">
        <v>567</v>
      </c>
      <c r="M47" s="338" t="s">
        <v>566</v>
      </c>
      <c r="N47" s="24">
        <v>600000000</v>
      </c>
      <c r="O47" s="24">
        <v>60883953</v>
      </c>
      <c r="P47" s="24"/>
      <c r="Q47" s="25">
        <f>(O47/N47)*100</f>
        <v>10.147325499999999</v>
      </c>
      <c r="R47" s="413"/>
      <c r="S47" s="24" t="s">
        <v>565</v>
      </c>
    </row>
    <row r="48" spans="1:19" ht="261" customHeight="1" x14ac:dyDescent="0.3">
      <c r="A48" s="20" t="s">
        <v>2</v>
      </c>
      <c r="B48" s="20" t="s">
        <v>113</v>
      </c>
      <c r="C48" s="20" t="s">
        <v>3</v>
      </c>
      <c r="D48" s="20" t="s">
        <v>114</v>
      </c>
      <c r="E48" s="105" t="s">
        <v>269</v>
      </c>
      <c r="F48" s="105" t="s">
        <v>153</v>
      </c>
      <c r="G48" s="22" t="s">
        <v>99</v>
      </c>
      <c r="H48" s="317" t="s">
        <v>333</v>
      </c>
      <c r="I48" s="22" t="s">
        <v>15</v>
      </c>
      <c r="J48" s="23" t="s">
        <v>69</v>
      </c>
      <c r="K48" s="23"/>
      <c r="L48" s="337" t="s">
        <v>422</v>
      </c>
      <c r="M48" s="29"/>
      <c r="N48" s="24">
        <v>500000000</v>
      </c>
      <c r="O48" s="24">
        <v>64600791.770000003</v>
      </c>
      <c r="P48" s="24"/>
      <c r="Q48" s="25">
        <f>(O48/N48)*100</f>
        <v>12.920158354</v>
      </c>
      <c r="R48" s="345"/>
      <c r="S48" s="327" t="s">
        <v>426</v>
      </c>
    </row>
    <row r="49" spans="1:59" ht="408.75" customHeight="1" x14ac:dyDescent="0.3">
      <c r="A49" s="20" t="s">
        <v>2</v>
      </c>
      <c r="B49" s="20" t="s">
        <v>113</v>
      </c>
      <c r="C49" s="20" t="s">
        <v>3</v>
      </c>
      <c r="D49" s="20" t="s">
        <v>114</v>
      </c>
      <c r="E49" s="105" t="s">
        <v>270</v>
      </c>
      <c r="F49" s="105" t="s">
        <v>153</v>
      </c>
      <c r="G49" s="72" t="s">
        <v>169</v>
      </c>
      <c r="H49" s="317" t="s">
        <v>331</v>
      </c>
      <c r="I49" s="22" t="s">
        <v>15</v>
      </c>
      <c r="J49" s="101" t="s">
        <v>47</v>
      </c>
      <c r="K49" s="101"/>
      <c r="L49" s="337" t="s">
        <v>423</v>
      </c>
      <c r="M49" s="337" t="s">
        <v>424</v>
      </c>
      <c r="N49" s="211">
        <v>1905000000</v>
      </c>
      <c r="O49" s="211">
        <v>312166339</v>
      </c>
      <c r="P49" s="338" t="s">
        <v>428</v>
      </c>
      <c r="Q49" s="25">
        <v>16.386684461942259</v>
      </c>
      <c r="R49" s="345"/>
      <c r="S49" s="327" t="s">
        <v>427</v>
      </c>
    </row>
    <row r="50" spans="1:59" ht="372" customHeight="1" x14ac:dyDescent="0.3">
      <c r="A50" s="20" t="s">
        <v>2</v>
      </c>
      <c r="B50" s="20" t="s">
        <v>113</v>
      </c>
      <c r="C50" s="20" t="s">
        <v>3</v>
      </c>
      <c r="D50" s="20" t="s">
        <v>114</v>
      </c>
      <c r="E50" s="105" t="s">
        <v>143</v>
      </c>
      <c r="F50" s="105" t="s">
        <v>153</v>
      </c>
      <c r="G50" s="72" t="s">
        <v>429</v>
      </c>
      <c r="H50" s="317" t="s">
        <v>331</v>
      </c>
      <c r="I50" s="22" t="s">
        <v>15</v>
      </c>
      <c r="J50" s="101" t="s">
        <v>47</v>
      </c>
      <c r="K50" s="101"/>
      <c r="L50" s="26"/>
      <c r="M50" s="70"/>
      <c r="N50" s="73">
        <v>300000000</v>
      </c>
      <c r="O50" s="24"/>
      <c r="P50" s="24"/>
      <c r="Q50" s="25">
        <f t="shared" ref="Q50:Q51" si="3">(O50/N50)*100</f>
        <v>0</v>
      </c>
      <c r="R50" s="345"/>
      <c r="S50" s="20" t="s">
        <v>369</v>
      </c>
    </row>
    <row r="51" spans="1:59" ht="408.75" customHeight="1" x14ac:dyDescent="0.3">
      <c r="A51" s="161" t="s">
        <v>2</v>
      </c>
      <c r="B51" s="20" t="s">
        <v>113</v>
      </c>
      <c r="C51" s="20" t="s">
        <v>4</v>
      </c>
      <c r="D51" s="20" t="s">
        <v>115</v>
      </c>
      <c r="E51" s="105" t="s">
        <v>706</v>
      </c>
      <c r="F51" s="105" t="s">
        <v>203</v>
      </c>
      <c r="G51" s="72"/>
      <c r="H51" s="315" t="s">
        <v>338</v>
      </c>
      <c r="I51" s="22" t="s">
        <v>15</v>
      </c>
      <c r="J51" s="26"/>
      <c r="K51" s="26"/>
      <c r="L51" s="27"/>
      <c r="M51" s="70"/>
      <c r="N51" s="73">
        <v>410000000</v>
      </c>
      <c r="O51" s="24">
        <v>10280000</v>
      </c>
      <c r="P51" s="24"/>
      <c r="Q51" s="25">
        <f t="shared" si="3"/>
        <v>2.5073170731707317</v>
      </c>
      <c r="R51" s="345"/>
      <c r="S51" s="20" t="s">
        <v>370</v>
      </c>
    </row>
    <row r="52" spans="1:59" ht="408.75" customHeight="1" x14ac:dyDescent="0.3">
      <c r="A52" s="163" t="s">
        <v>2</v>
      </c>
      <c r="B52" s="163" t="s">
        <v>113</v>
      </c>
      <c r="C52" s="163" t="s">
        <v>4</v>
      </c>
      <c r="D52" s="163" t="s">
        <v>115</v>
      </c>
      <c r="E52" s="112" t="s">
        <v>106</v>
      </c>
      <c r="F52" s="503" t="s">
        <v>194</v>
      </c>
      <c r="G52" s="159" t="s">
        <v>82</v>
      </c>
      <c r="H52" s="31" t="s">
        <v>339</v>
      </c>
      <c r="I52" s="30" t="s">
        <v>14</v>
      </c>
      <c r="J52" s="31" t="s">
        <v>47</v>
      </c>
      <c r="K52" s="31"/>
      <c r="L52" s="30" t="s">
        <v>283</v>
      </c>
      <c r="M52" s="30" t="s">
        <v>284</v>
      </c>
      <c r="N52" s="33">
        <v>800000000</v>
      </c>
      <c r="O52" s="34">
        <v>119801712.26000001</v>
      </c>
      <c r="P52" s="75" t="s">
        <v>442</v>
      </c>
      <c r="Q52" s="35">
        <f t="shared" ref="Q52" si="4">(O52/N52)*100</f>
        <v>14.9752140325</v>
      </c>
      <c r="R52" s="345"/>
      <c r="S52" s="163" t="s">
        <v>371</v>
      </c>
    </row>
    <row r="53" spans="1:59" ht="409.5" customHeight="1" x14ac:dyDescent="0.3">
      <c r="A53" s="36" t="s">
        <v>2</v>
      </c>
      <c r="B53" s="37" t="s">
        <v>113</v>
      </c>
      <c r="C53" s="36" t="s">
        <v>4</v>
      </c>
      <c r="D53" s="37" t="s">
        <v>115</v>
      </c>
      <c r="E53" s="106" t="s">
        <v>96</v>
      </c>
      <c r="F53" s="106" t="s">
        <v>195</v>
      </c>
      <c r="G53" s="38" t="s">
        <v>334</v>
      </c>
      <c r="H53" s="40" t="s">
        <v>340</v>
      </c>
      <c r="I53" s="39" t="s">
        <v>25</v>
      </c>
      <c r="J53" s="40" t="s">
        <v>306</v>
      </c>
      <c r="K53" s="40" t="s">
        <v>306</v>
      </c>
      <c r="L53" s="403" t="s">
        <v>641</v>
      </c>
      <c r="M53" s="39" t="s">
        <v>26</v>
      </c>
      <c r="N53" s="42">
        <v>13950000000</v>
      </c>
      <c r="O53" s="42">
        <v>501800000</v>
      </c>
      <c r="P53" s="42"/>
      <c r="Q53" s="43">
        <f>(O53/N53)*100</f>
        <v>3.5971326164874551</v>
      </c>
      <c r="R53" s="266"/>
      <c r="S53" s="37" t="s">
        <v>372</v>
      </c>
    </row>
    <row r="54" spans="1:59" ht="408.75" customHeight="1" x14ac:dyDescent="0.3">
      <c r="A54" s="37" t="s">
        <v>2</v>
      </c>
      <c r="B54" s="37" t="s">
        <v>113</v>
      </c>
      <c r="C54" s="36" t="s">
        <v>4</v>
      </c>
      <c r="D54" s="37" t="s">
        <v>115</v>
      </c>
      <c r="E54" s="114"/>
      <c r="F54" s="106" t="s">
        <v>195</v>
      </c>
      <c r="G54" s="38" t="s">
        <v>302</v>
      </c>
      <c r="H54" s="40" t="s">
        <v>340</v>
      </c>
      <c r="I54" s="38" t="s">
        <v>15</v>
      </c>
      <c r="J54" s="41" t="s">
        <v>69</v>
      </c>
      <c r="K54" s="41" t="s">
        <v>418</v>
      </c>
      <c r="L54" s="402" t="s">
        <v>626</v>
      </c>
      <c r="M54" s="39" t="s">
        <v>627</v>
      </c>
      <c r="N54" s="42">
        <v>2000000000</v>
      </c>
      <c r="O54" s="42">
        <v>252937245.28999999</v>
      </c>
      <c r="P54" s="42" t="s">
        <v>419</v>
      </c>
      <c r="Q54" s="43">
        <f>(O54/N54)*100</f>
        <v>12.646862264499999</v>
      </c>
      <c r="R54" s="345"/>
      <c r="S54" s="76"/>
    </row>
    <row r="55" spans="1:59" s="490" customFormat="1" ht="408.75" customHeight="1" x14ac:dyDescent="0.3">
      <c r="A55" s="479" t="s">
        <v>2</v>
      </c>
      <c r="B55" s="479" t="s">
        <v>113</v>
      </c>
      <c r="C55" s="480" t="s">
        <v>4</v>
      </c>
      <c r="D55" s="479" t="s">
        <v>115</v>
      </c>
      <c r="E55" s="481" t="s">
        <v>705</v>
      </c>
      <c r="F55" s="497" t="s">
        <v>699</v>
      </c>
      <c r="G55" s="482" t="s">
        <v>692</v>
      </c>
      <c r="H55" s="483" t="s">
        <v>322</v>
      </c>
      <c r="I55" s="482" t="s">
        <v>688</v>
      </c>
      <c r="J55" s="484" t="s">
        <v>689</v>
      </c>
      <c r="K55" s="484" t="s">
        <v>690</v>
      </c>
      <c r="L55" s="485"/>
      <c r="M55" s="486"/>
      <c r="N55" s="487">
        <v>200000000</v>
      </c>
      <c r="O55" s="487">
        <f>29518449+18776097</f>
        <v>48294546</v>
      </c>
      <c r="P55" s="487" t="s">
        <v>704</v>
      </c>
      <c r="Q55" s="488">
        <f>(O55/N55)*100</f>
        <v>24.147272999999998</v>
      </c>
      <c r="R55" s="346"/>
      <c r="S55" s="489" t="s">
        <v>691</v>
      </c>
      <c r="T55" s="274"/>
      <c r="U55" s="274"/>
      <c r="V55" s="274"/>
      <c r="W55" s="274"/>
      <c r="X55" s="274"/>
      <c r="Y55" s="274"/>
      <c r="Z55" s="274"/>
      <c r="AA55" s="274"/>
      <c r="AB55" s="274"/>
      <c r="AC55" s="274"/>
      <c r="AD55" s="274"/>
      <c r="AE55" s="274"/>
      <c r="AF55" s="274"/>
      <c r="AG55" s="274"/>
      <c r="AH55" s="274"/>
      <c r="AI55" s="274"/>
      <c r="AJ55" s="274"/>
      <c r="AK55" s="274"/>
      <c r="AL55" s="274"/>
      <c r="AM55" s="274"/>
      <c r="AN55" s="274"/>
      <c r="AO55" s="274"/>
      <c r="AP55" s="274"/>
      <c r="AQ55" s="274"/>
      <c r="AR55" s="274"/>
      <c r="AS55" s="274"/>
      <c r="AT55" s="274"/>
      <c r="AU55" s="274"/>
      <c r="AV55" s="274"/>
      <c r="AW55" s="274"/>
      <c r="AX55" s="274"/>
      <c r="AY55" s="274"/>
      <c r="AZ55" s="274"/>
      <c r="BA55" s="274"/>
      <c r="BB55" s="274"/>
      <c r="BC55" s="274"/>
      <c r="BD55" s="274"/>
      <c r="BE55" s="274"/>
      <c r="BF55" s="274"/>
      <c r="BG55" s="274"/>
    </row>
    <row r="56" spans="1:59" ht="285.75" customHeight="1" x14ac:dyDescent="0.3">
      <c r="A56" s="44" t="s">
        <v>2</v>
      </c>
      <c r="B56" s="44" t="s">
        <v>113</v>
      </c>
      <c r="C56" s="44" t="s">
        <v>5</v>
      </c>
      <c r="D56" s="44" t="s">
        <v>116</v>
      </c>
      <c r="E56" s="107" t="s">
        <v>278</v>
      </c>
      <c r="F56" s="504" t="s">
        <v>196</v>
      </c>
      <c r="G56" s="45" t="s">
        <v>50</v>
      </c>
      <c r="H56" s="61" t="s">
        <v>341</v>
      </c>
      <c r="I56" s="46" t="s">
        <v>25</v>
      </c>
      <c r="J56" s="47" t="s">
        <v>352</v>
      </c>
      <c r="K56" s="47"/>
      <c r="L56" s="45" t="s">
        <v>510</v>
      </c>
      <c r="M56" s="281" t="s">
        <v>511</v>
      </c>
      <c r="N56" s="282">
        <v>1287100000</v>
      </c>
      <c r="O56" s="282">
        <v>24586836.23</v>
      </c>
      <c r="P56" s="48"/>
      <c r="Q56" s="49">
        <v>1.9102506588454666</v>
      </c>
      <c r="R56" s="343" t="s">
        <v>555</v>
      </c>
      <c r="S56" s="44" t="s">
        <v>512</v>
      </c>
    </row>
    <row r="57" spans="1:59" ht="338.25" customHeight="1" x14ac:dyDescent="0.3">
      <c r="A57" s="44" t="s">
        <v>2</v>
      </c>
      <c r="B57" s="44" t="s">
        <v>113</v>
      </c>
      <c r="C57" s="44" t="s">
        <v>5</v>
      </c>
      <c r="D57" s="44" t="s">
        <v>116</v>
      </c>
      <c r="E57" s="107" t="s">
        <v>274</v>
      </c>
      <c r="F57" s="504" t="s">
        <v>196</v>
      </c>
      <c r="G57" s="45" t="s">
        <v>275</v>
      </c>
      <c r="H57" s="61" t="s">
        <v>341</v>
      </c>
      <c r="I57" s="45" t="s">
        <v>16</v>
      </c>
      <c r="J57" s="47" t="s">
        <v>632</v>
      </c>
      <c r="K57" s="47"/>
      <c r="L57" s="45" t="s">
        <v>633</v>
      </c>
      <c r="M57" s="45" t="s">
        <v>634</v>
      </c>
      <c r="N57" s="48">
        <v>400000000</v>
      </c>
      <c r="O57" s="448">
        <v>62979420.68</v>
      </c>
      <c r="P57" s="48" t="s">
        <v>636</v>
      </c>
      <c r="Q57" s="49">
        <f t="shared" ref="Q57:Q62" si="5">(O57/N57)*100</f>
        <v>15.744855169999999</v>
      </c>
      <c r="R57" s="449" t="s">
        <v>637</v>
      </c>
      <c r="S57" s="450" t="s">
        <v>512</v>
      </c>
    </row>
    <row r="58" spans="1:59" ht="338.25" customHeight="1" x14ac:dyDescent="0.3">
      <c r="A58" s="62" t="s">
        <v>2</v>
      </c>
      <c r="B58" s="62" t="s">
        <v>113</v>
      </c>
      <c r="C58" s="62" t="s">
        <v>5</v>
      </c>
      <c r="D58" s="62" t="s">
        <v>116</v>
      </c>
      <c r="E58" s="110" t="s">
        <v>274</v>
      </c>
      <c r="F58" s="505" t="s">
        <v>196</v>
      </c>
      <c r="G58" s="63" t="s">
        <v>275</v>
      </c>
      <c r="H58" s="65" t="s">
        <v>341</v>
      </c>
      <c r="I58" s="63" t="s">
        <v>16</v>
      </c>
      <c r="J58" s="65" t="s">
        <v>69</v>
      </c>
      <c r="K58" s="66"/>
      <c r="L58" s="63" t="s">
        <v>630</v>
      </c>
      <c r="M58" s="445" t="s">
        <v>631</v>
      </c>
      <c r="N58" s="48" t="s">
        <v>635</v>
      </c>
      <c r="O58" s="446">
        <v>950000</v>
      </c>
      <c r="P58" s="48" t="s">
        <v>636</v>
      </c>
      <c r="Q58" s="49"/>
      <c r="R58" s="449" t="s">
        <v>638</v>
      </c>
      <c r="S58" s="451" t="s">
        <v>512</v>
      </c>
    </row>
    <row r="59" spans="1:59" ht="375" customHeight="1" x14ac:dyDescent="0.3">
      <c r="A59" s="44" t="s">
        <v>2</v>
      </c>
      <c r="B59" s="44" t="s">
        <v>113</v>
      </c>
      <c r="C59" s="44" t="s">
        <v>5</v>
      </c>
      <c r="D59" s="44" t="s">
        <v>116</v>
      </c>
      <c r="E59" s="107" t="s">
        <v>273</v>
      </c>
      <c r="F59" s="504" t="s">
        <v>196</v>
      </c>
      <c r="G59" s="45" t="s">
        <v>276</v>
      </c>
      <c r="H59" s="61" t="s">
        <v>341</v>
      </c>
      <c r="I59" s="45" t="s">
        <v>16</v>
      </c>
      <c r="J59" s="47" t="s">
        <v>69</v>
      </c>
      <c r="K59" s="47" t="s">
        <v>514</v>
      </c>
      <c r="L59" s="63" t="s">
        <v>639</v>
      </c>
      <c r="M59" s="63" t="s">
        <v>640</v>
      </c>
      <c r="N59" s="48">
        <v>800000000</v>
      </c>
      <c r="O59" s="48">
        <v>73989664.599999994</v>
      </c>
      <c r="P59" s="48"/>
      <c r="Q59" s="49">
        <v>9.2487080749999997</v>
      </c>
      <c r="R59" s="343" t="s">
        <v>513</v>
      </c>
      <c r="S59" s="44" t="s">
        <v>512</v>
      </c>
    </row>
    <row r="60" spans="1:59" ht="253.5" customHeight="1" x14ac:dyDescent="0.3">
      <c r="A60" s="185" t="s">
        <v>2</v>
      </c>
      <c r="B60" s="185" t="s">
        <v>113</v>
      </c>
      <c r="C60" s="185" t="s">
        <v>5</v>
      </c>
      <c r="D60" s="185" t="s">
        <v>116</v>
      </c>
      <c r="E60" s="186" t="s">
        <v>152</v>
      </c>
      <c r="F60" s="498" t="s">
        <v>700</v>
      </c>
      <c r="G60" s="187" t="s">
        <v>254</v>
      </c>
      <c r="H60" s="208" t="s">
        <v>341</v>
      </c>
      <c r="I60" s="187" t="s">
        <v>17</v>
      </c>
      <c r="J60" s="208" t="s">
        <v>47</v>
      </c>
      <c r="K60" s="208"/>
      <c r="L60" s="187" t="s">
        <v>435</v>
      </c>
      <c r="M60" s="187"/>
      <c r="N60" s="188">
        <v>6532165283.4899998</v>
      </c>
      <c r="O60" s="188">
        <v>811033694.10000002</v>
      </c>
      <c r="P60" s="188"/>
      <c r="Q60" s="285">
        <f t="shared" si="5"/>
        <v>12.416000803743925</v>
      </c>
      <c r="R60" s="345"/>
      <c r="S60" s="185" t="s">
        <v>373</v>
      </c>
    </row>
    <row r="61" spans="1:59" ht="97.5" customHeight="1" x14ac:dyDescent="0.3">
      <c r="A61" s="51" t="s">
        <v>2</v>
      </c>
      <c r="B61" s="178" t="s">
        <v>113</v>
      </c>
      <c r="C61" s="51" t="s">
        <v>5</v>
      </c>
      <c r="D61" s="86" t="s">
        <v>116</v>
      </c>
      <c r="E61" s="108" t="s">
        <v>32</v>
      </c>
      <c r="F61" s="334" t="s">
        <v>700</v>
      </c>
      <c r="G61" s="52" t="s">
        <v>48</v>
      </c>
      <c r="H61" s="54" t="s">
        <v>342</v>
      </c>
      <c r="I61" s="53" t="s">
        <v>25</v>
      </c>
      <c r="J61" s="54" t="s">
        <v>49</v>
      </c>
      <c r="K61" s="54"/>
      <c r="L61" s="204"/>
      <c r="M61" s="204"/>
      <c r="N61" s="55">
        <v>330000000</v>
      </c>
      <c r="O61" s="55">
        <v>23088193</v>
      </c>
      <c r="P61" s="55"/>
      <c r="Q61" s="284">
        <f t="shared" si="5"/>
        <v>6.996422121212122</v>
      </c>
      <c r="R61" s="343" t="s">
        <v>231</v>
      </c>
      <c r="S61" s="86" t="s">
        <v>374</v>
      </c>
    </row>
    <row r="62" spans="1:59" ht="161.25" customHeight="1" x14ac:dyDescent="0.3">
      <c r="A62" s="14" t="s">
        <v>2</v>
      </c>
      <c r="B62" s="14" t="s">
        <v>113</v>
      </c>
      <c r="C62" s="14" t="s">
        <v>5</v>
      </c>
      <c r="D62" s="14" t="s">
        <v>116</v>
      </c>
      <c r="E62" s="109" t="s">
        <v>68</v>
      </c>
      <c r="F62" s="104" t="s">
        <v>700</v>
      </c>
      <c r="G62" s="57" t="s">
        <v>519</v>
      </c>
      <c r="H62" s="58" t="s">
        <v>342</v>
      </c>
      <c r="I62" s="58" t="s">
        <v>25</v>
      </c>
      <c r="J62" s="16" t="s">
        <v>232</v>
      </c>
      <c r="K62" s="16"/>
      <c r="L62" s="59"/>
      <c r="M62" s="272"/>
      <c r="N62" s="250">
        <v>357000000</v>
      </c>
      <c r="O62" s="459">
        <v>148099507.77000001</v>
      </c>
      <c r="P62" s="273"/>
      <c r="Q62" s="19">
        <f t="shared" si="5"/>
        <v>41.484455957983194</v>
      </c>
      <c r="R62" s="343" t="s">
        <v>538</v>
      </c>
      <c r="S62" s="14" t="s">
        <v>375</v>
      </c>
    </row>
    <row r="63" spans="1:59" ht="163.5" customHeight="1" x14ac:dyDescent="0.3">
      <c r="A63" s="60" t="s">
        <v>2</v>
      </c>
      <c r="B63" s="14" t="s">
        <v>113</v>
      </c>
      <c r="C63" s="60" t="s">
        <v>5</v>
      </c>
      <c r="D63" s="14" t="s">
        <v>116</v>
      </c>
      <c r="E63" s="165" t="s">
        <v>28</v>
      </c>
      <c r="F63" s="104" t="s">
        <v>233</v>
      </c>
      <c r="G63" s="166" t="s">
        <v>301</v>
      </c>
      <c r="H63" s="58" t="s">
        <v>342</v>
      </c>
      <c r="I63" s="15" t="s">
        <v>25</v>
      </c>
      <c r="J63" s="16" t="s">
        <v>69</v>
      </c>
      <c r="K63" s="16"/>
      <c r="L63" s="15" t="s">
        <v>29</v>
      </c>
      <c r="M63" s="15" t="s">
        <v>443</v>
      </c>
      <c r="N63" s="251">
        <v>500000000</v>
      </c>
      <c r="O63" s="17">
        <v>51732673.560000002</v>
      </c>
      <c r="P63" s="18"/>
      <c r="Q63" s="19">
        <v>10.346534712</v>
      </c>
      <c r="R63" s="343" t="s">
        <v>537</v>
      </c>
      <c r="S63" s="14" t="s">
        <v>376</v>
      </c>
    </row>
    <row r="64" spans="1:59" ht="175.5" customHeight="1" x14ac:dyDescent="0.3">
      <c r="A64" s="44" t="s">
        <v>2</v>
      </c>
      <c r="B64" s="44" t="s">
        <v>113</v>
      </c>
      <c r="C64" s="44" t="s">
        <v>5</v>
      </c>
      <c r="D64" s="44" t="s">
        <v>116</v>
      </c>
      <c r="E64" s="107" t="s">
        <v>146</v>
      </c>
      <c r="F64" s="504" t="s">
        <v>196</v>
      </c>
      <c r="G64" s="422" t="s">
        <v>592</v>
      </c>
      <c r="H64" s="50" t="s">
        <v>343</v>
      </c>
      <c r="I64" s="45" t="s">
        <v>45</v>
      </c>
      <c r="J64" s="50" t="s">
        <v>46</v>
      </c>
      <c r="K64" s="50" t="s">
        <v>593</v>
      </c>
      <c r="L64" s="45"/>
      <c r="M64" s="45"/>
      <c r="N64" s="48">
        <v>900000000</v>
      </c>
      <c r="O64" s="48">
        <v>251497732.18000001</v>
      </c>
      <c r="P64" s="48" t="s">
        <v>673</v>
      </c>
      <c r="Q64" s="167">
        <f>(O64/N64)*100</f>
        <v>27.944192464444445</v>
      </c>
      <c r="R64" s="345"/>
      <c r="S64" s="44" t="s">
        <v>377</v>
      </c>
    </row>
    <row r="65" spans="1:19" ht="250.5" customHeight="1" x14ac:dyDescent="0.3">
      <c r="A65" s="44" t="s">
        <v>2</v>
      </c>
      <c r="B65" s="44" t="s">
        <v>113</v>
      </c>
      <c r="C65" s="44" t="s">
        <v>5</v>
      </c>
      <c r="D65" s="44" t="s">
        <v>116</v>
      </c>
      <c r="E65" s="107" t="s">
        <v>147</v>
      </c>
      <c r="F65" s="504" t="s">
        <v>196</v>
      </c>
      <c r="G65" s="45" t="s">
        <v>79</v>
      </c>
      <c r="H65" s="50" t="s">
        <v>343</v>
      </c>
      <c r="I65" s="45" t="s">
        <v>45</v>
      </c>
      <c r="J65" s="50" t="s">
        <v>78</v>
      </c>
      <c r="K65" s="50" t="s">
        <v>78</v>
      </c>
      <c r="L65" s="45"/>
      <c r="M65" s="45"/>
      <c r="N65" s="48">
        <v>2000000000</v>
      </c>
      <c r="O65" s="67">
        <f>117070000+49000000</f>
        <v>166070000</v>
      </c>
      <c r="P65" s="67" t="s">
        <v>668</v>
      </c>
      <c r="Q65" s="447">
        <f>117070000/N65</f>
        <v>5.8534999999999997E-2</v>
      </c>
      <c r="R65" s="345"/>
      <c r="S65" s="44" t="s">
        <v>378</v>
      </c>
    </row>
    <row r="66" spans="1:19" s="274" customFormat="1" ht="205.5" customHeight="1" x14ac:dyDescent="0.3">
      <c r="A66" s="44" t="s">
        <v>2</v>
      </c>
      <c r="B66" s="44" t="s">
        <v>113</v>
      </c>
      <c r="C66" s="44" t="s">
        <v>5</v>
      </c>
      <c r="D66" s="44" t="s">
        <v>116</v>
      </c>
      <c r="E66" s="107" t="s">
        <v>148</v>
      </c>
      <c r="F66" s="504" t="s">
        <v>196</v>
      </c>
      <c r="G66" s="45" t="s">
        <v>446</v>
      </c>
      <c r="H66" s="50" t="s">
        <v>343</v>
      </c>
      <c r="I66" s="46" t="s">
        <v>25</v>
      </c>
      <c r="J66" s="61" t="s">
        <v>594</v>
      </c>
      <c r="K66" s="61" t="s">
        <v>593</v>
      </c>
      <c r="L66" s="45" t="s">
        <v>595</v>
      </c>
      <c r="M66" s="423">
        <v>44864</v>
      </c>
      <c r="N66" s="48">
        <v>600000000</v>
      </c>
      <c r="O66" s="48">
        <v>65556000</v>
      </c>
      <c r="P66" s="48"/>
      <c r="Q66" s="167">
        <f>(O66/N66)*100</f>
        <v>10.926</v>
      </c>
      <c r="R66" s="345" t="s">
        <v>596</v>
      </c>
      <c r="S66" s="44" t="s">
        <v>447</v>
      </c>
    </row>
    <row r="67" spans="1:19" s="274" customFormat="1" ht="113.5" customHeight="1" x14ac:dyDescent="0.3">
      <c r="A67" s="37" t="s">
        <v>2</v>
      </c>
      <c r="B67" s="37" t="s">
        <v>113</v>
      </c>
      <c r="C67" s="37" t="s">
        <v>5</v>
      </c>
      <c r="D67" s="37" t="s">
        <v>116</v>
      </c>
      <c r="E67" s="113" t="s">
        <v>597</v>
      </c>
      <c r="F67" s="106" t="s">
        <v>196</v>
      </c>
      <c r="G67" s="38" t="s">
        <v>598</v>
      </c>
      <c r="H67" s="76" t="s">
        <v>343</v>
      </c>
      <c r="I67" s="38" t="s">
        <v>45</v>
      </c>
      <c r="J67" s="40" t="s">
        <v>599</v>
      </c>
      <c r="K67" s="40" t="s">
        <v>600</v>
      </c>
      <c r="L67" s="38" t="s">
        <v>601</v>
      </c>
      <c r="M67" s="424" t="s">
        <v>602</v>
      </c>
      <c r="N67" s="424" t="s">
        <v>602</v>
      </c>
      <c r="O67" s="424" t="s">
        <v>602</v>
      </c>
      <c r="P67" s="424" t="s">
        <v>602</v>
      </c>
      <c r="Q67" s="424" t="s">
        <v>602</v>
      </c>
      <c r="R67" s="425" t="s">
        <v>603</v>
      </c>
      <c r="S67" s="37"/>
    </row>
    <row r="68" spans="1:19" ht="228" customHeight="1" x14ac:dyDescent="0.3">
      <c r="A68" s="62" t="s">
        <v>2</v>
      </c>
      <c r="B68" s="62" t="s">
        <v>113</v>
      </c>
      <c r="C68" s="62" t="s">
        <v>5</v>
      </c>
      <c r="D68" s="62" t="s">
        <v>116</v>
      </c>
      <c r="E68" s="110" t="s">
        <v>11</v>
      </c>
      <c r="F68" s="505" t="s">
        <v>604</v>
      </c>
      <c r="G68" s="63" t="s">
        <v>653</v>
      </c>
      <c r="H68" s="64" t="s">
        <v>344</v>
      </c>
      <c r="I68" s="64" t="s">
        <v>30</v>
      </c>
      <c r="J68" s="65" t="s">
        <v>518</v>
      </c>
      <c r="K68" s="65"/>
      <c r="L68" s="64" t="s">
        <v>31</v>
      </c>
      <c r="M68" s="65" t="s">
        <v>654</v>
      </c>
      <c r="N68" s="67">
        <v>962930511.75999999</v>
      </c>
      <c r="O68" s="67">
        <v>42785679</v>
      </c>
      <c r="P68" s="67" t="s">
        <v>652</v>
      </c>
      <c r="Q68" s="68">
        <f>(O68/N68)*100</f>
        <v>4.443277939318623</v>
      </c>
      <c r="R68" s="345"/>
      <c r="S68" s="328" t="s">
        <v>379</v>
      </c>
    </row>
    <row r="69" spans="1:19" ht="279" x14ac:dyDescent="0.3">
      <c r="A69" s="161" t="s">
        <v>52</v>
      </c>
      <c r="B69" s="20" t="s">
        <v>117</v>
      </c>
      <c r="C69" s="161" t="s">
        <v>8</v>
      </c>
      <c r="D69" s="20" t="s">
        <v>118</v>
      </c>
      <c r="E69" s="105" t="s">
        <v>55</v>
      </c>
      <c r="F69" s="105" t="s">
        <v>192</v>
      </c>
      <c r="G69" s="21" t="s">
        <v>240</v>
      </c>
      <c r="H69" s="317" t="s">
        <v>333</v>
      </c>
      <c r="I69" s="22" t="s">
        <v>15</v>
      </c>
      <c r="J69" s="161" t="s">
        <v>56</v>
      </c>
      <c r="K69" s="26"/>
      <c r="L69" s="70"/>
      <c r="M69" s="70"/>
      <c r="N69" s="520">
        <v>8570000000</v>
      </c>
      <c r="O69" s="218">
        <v>374660000</v>
      </c>
      <c r="P69" s="71"/>
      <c r="Q69" s="28"/>
      <c r="R69" s="345"/>
      <c r="S69" s="408" t="s">
        <v>380</v>
      </c>
    </row>
    <row r="70" spans="1:19" ht="279" x14ac:dyDescent="0.3">
      <c r="A70" s="161" t="s">
        <v>52</v>
      </c>
      <c r="B70" s="20" t="s">
        <v>117</v>
      </c>
      <c r="C70" s="161" t="s">
        <v>8</v>
      </c>
      <c r="D70" s="20" t="s">
        <v>118</v>
      </c>
      <c r="E70" s="105" t="s">
        <v>55</v>
      </c>
      <c r="F70" s="105" t="s">
        <v>192</v>
      </c>
      <c r="G70" s="21" t="s">
        <v>175</v>
      </c>
      <c r="H70" s="317" t="s">
        <v>333</v>
      </c>
      <c r="I70" s="22" t="s">
        <v>15</v>
      </c>
      <c r="J70" s="161" t="s">
        <v>56</v>
      </c>
      <c r="K70" s="26"/>
      <c r="L70" s="70"/>
      <c r="M70" s="70"/>
      <c r="N70" s="521"/>
      <c r="O70" s="218">
        <v>195130000</v>
      </c>
      <c r="P70" s="71"/>
      <c r="Q70" s="28"/>
      <c r="R70" s="345"/>
      <c r="S70" s="408" t="s">
        <v>380</v>
      </c>
    </row>
    <row r="71" spans="1:19" ht="279" x14ac:dyDescent="0.3">
      <c r="A71" s="161" t="s">
        <v>52</v>
      </c>
      <c r="B71" s="20" t="s">
        <v>117</v>
      </c>
      <c r="C71" s="161" t="s">
        <v>8</v>
      </c>
      <c r="D71" s="20" t="s">
        <v>118</v>
      </c>
      <c r="E71" s="105" t="s">
        <v>55</v>
      </c>
      <c r="F71" s="105" t="s">
        <v>192</v>
      </c>
      <c r="G71" s="21" t="s">
        <v>176</v>
      </c>
      <c r="H71" s="317" t="s">
        <v>333</v>
      </c>
      <c r="I71" s="22" t="s">
        <v>15</v>
      </c>
      <c r="J71" s="161" t="s">
        <v>56</v>
      </c>
      <c r="K71" s="26"/>
      <c r="L71" s="70"/>
      <c r="M71" s="70"/>
      <c r="N71" s="522"/>
      <c r="O71" s="218">
        <v>1723030000</v>
      </c>
      <c r="P71" s="71"/>
      <c r="Q71" s="28"/>
      <c r="R71" s="346"/>
      <c r="S71" s="408" t="s">
        <v>380</v>
      </c>
    </row>
    <row r="72" spans="1:19" ht="46.5" x14ac:dyDescent="0.3">
      <c r="A72" s="161" t="s">
        <v>52</v>
      </c>
      <c r="B72" s="20" t="s">
        <v>117</v>
      </c>
      <c r="C72" s="161" t="s">
        <v>8</v>
      </c>
      <c r="D72" s="20" t="s">
        <v>118</v>
      </c>
      <c r="E72" s="111" t="s">
        <v>58</v>
      </c>
      <c r="F72" s="105" t="s">
        <v>192</v>
      </c>
      <c r="G72" s="21" t="s">
        <v>59</v>
      </c>
      <c r="H72" s="317" t="s">
        <v>333</v>
      </c>
      <c r="I72" s="22" t="s">
        <v>15</v>
      </c>
      <c r="J72" s="161" t="s">
        <v>56</v>
      </c>
      <c r="K72" s="26"/>
      <c r="L72" s="70"/>
      <c r="M72" s="70"/>
      <c r="N72" s="71"/>
      <c r="O72" s="24">
        <v>165000000</v>
      </c>
      <c r="P72" s="24"/>
      <c r="Q72" s="28"/>
      <c r="R72" s="345"/>
      <c r="S72" s="26"/>
    </row>
    <row r="73" spans="1:19" ht="46.5" x14ac:dyDescent="0.3">
      <c r="A73" s="161" t="s">
        <v>52</v>
      </c>
      <c r="B73" s="20" t="s">
        <v>117</v>
      </c>
      <c r="C73" s="161" t="s">
        <v>8</v>
      </c>
      <c r="D73" s="20" t="s">
        <v>118</v>
      </c>
      <c r="E73" s="111" t="s">
        <v>58</v>
      </c>
      <c r="F73" s="105" t="s">
        <v>192</v>
      </c>
      <c r="G73" s="21" t="s">
        <v>60</v>
      </c>
      <c r="H73" s="317" t="s">
        <v>333</v>
      </c>
      <c r="I73" s="22" t="s">
        <v>15</v>
      </c>
      <c r="J73" s="161" t="s">
        <v>56</v>
      </c>
      <c r="K73" s="26"/>
      <c r="L73" s="70"/>
      <c r="M73" s="70"/>
      <c r="N73" s="71"/>
      <c r="O73" s="24">
        <v>120000000</v>
      </c>
      <c r="P73" s="24"/>
      <c r="Q73" s="28"/>
      <c r="R73" s="345"/>
      <c r="S73" s="161"/>
    </row>
    <row r="74" spans="1:19" ht="95.25" customHeight="1" x14ac:dyDescent="0.3">
      <c r="A74" s="161" t="s">
        <v>52</v>
      </c>
      <c r="B74" s="20" t="s">
        <v>117</v>
      </c>
      <c r="C74" s="161" t="s">
        <v>8</v>
      </c>
      <c r="D74" s="20" t="s">
        <v>118</v>
      </c>
      <c r="E74" s="111" t="s">
        <v>61</v>
      </c>
      <c r="F74" s="105" t="s">
        <v>192</v>
      </c>
      <c r="G74" s="21" t="s">
        <v>62</v>
      </c>
      <c r="H74" s="317" t="s">
        <v>333</v>
      </c>
      <c r="I74" s="22" t="s">
        <v>15</v>
      </c>
      <c r="J74" s="161" t="s">
        <v>56</v>
      </c>
      <c r="K74" s="26"/>
      <c r="L74" s="70"/>
      <c r="M74" s="70"/>
      <c r="N74" s="514">
        <v>2970000000</v>
      </c>
      <c r="O74" s="24">
        <v>62360000</v>
      </c>
      <c r="P74" s="24"/>
      <c r="Q74" s="28"/>
      <c r="R74" s="345"/>
      <c r="S74" s="408" t="s">
        <v>381</v>
      </c>
    </row>
    <row r="75" spans="1:19" ht="124" x14ac:dyDescent="0.3">
      <c r="A75" s="161" t="s">
        <v>52</v>
      </c>
      <c r="B75" s="20" t="s">
        <v>117</v>
      </c>
      <c r="C75" s="161" t="s">
        <v>8</v>
      </c>
      <c r="D75" s="20" t="s">
        <v>118</v>
      </c>
      <c r="E75" s="111" t="s">
        <v>61</v>
      </c>
      <c r="F75" s="105" t="s">
        <v>192</v>
      </c>
      <c r="G75" s="21" t="s">
        <v>63</v>
      </c>
      <c r="H75" s="317" t="s">
        <v>333</v>
      </c>
      <c r="I75" s="22" t="s">
        <v>15</v>
      </c>
      <c r="J75" s="26" t="s">
        <v>56</v>
      </c>
      <c r="K75" s="26"/>
      <c r="L75" s="70"/>
      <c r="M75" s="70"/>
      <c r="N75" s="515"/>
      <c r="O75" s="24">
        <v>56450000</v>
      </c>
      <c r="P75" s="24"/>
      <c r="Q75" s="28"/>
      <c r="R75" s="345"/>
      <c r="S75" s="408" t="s">
        <v>381</v>
      </c>
    </row>
    <row r="76" spans="1:19" ht="124" x14ac:dyDescent="0.3">
      <c r="A76" s="161" t="s">
        <v>52</v>
      </c>
      <c r="B76" s="20" t="s">
        <v>117</v>
      </c>
      <c r="C76" s="161" t="s">
        <v>8</v>
      </c>
      <c r="D76" s="20" t="s">
        <v>118</v>
      </c>
      <c r="E76" s="111" t="s">
        <v>61</v>
      </c>
      <c r="F76" s="105" t="s">
        <v>192</v>
      </c>
      <c r="G76" s="21" t="s">
        <v>64</v>
      </c>
      <c r="H76" s="317" t="s">
        <v>333</v>
      </c>
      <c r="I76" s="22" t="s">
        <v>15</v>
      </c>
      <c r="J76" s="161" t="s">
        <v>56</v>
      </c>
      <c r="K76" s="161"/>
      <c r="L76" s="70"/>
      <c r="M76" s="70"/>
      <c r="N76" s="515"/>
      <c r="O76" s="24">
        <v>32420000</v>
      </c>
      <c r="P76" s="24"/>
      <c r="Q76" s="28"/>
      <c r="R76" s="345"/>
      <c r="S76" s="408" t="s">
        <v>381</v>
      </c>
    </row>
    <row r="77" spans="1:19" ht="124" x14ac:dyDescent="0.3">
      <c r="A77" s="161" t="s">
        <v>52</v>
      </c>
      <c r="B77" s="20" t="s">
        <v>117</v>
      </c>
      <c r="C77" s="161" t="s">
        <v>8</v>
      </c>
      <c r="D77" s="20" t="s">
        <v>118</v>
      </c>
      <c r="E77" s="111" t="s">
        <v>61</v>
      </c>
      <c r="F77" s="105" t="s">
        <v>192</v>
      </c>
      <c r="G77" s="21" t="s">
        <v>173</v>
      </c>
      <c r="H77" s="317" t="s">
        <v>333</v>
      </c>
      <c r="I77" s="22" t="s">
        <v>15</v>
      </c>
      <c r="J77" s="161" t="s">
        <v>56</v>
      </c>
      <c r="K77" s="161"/>
      <c r="L77" s="70"/>
      <c r="M77" s="70"/>
      <c r="N77" s="515"/>
      <c r="O77" s="24">
        <v>15340000</v>
      </c>
      <c r="P77" s="24"/>
      <c r="Q77" s="28"/>
      <c r="R77" s="345"/>
      <c r="S77" s="408" t="s">
        <v>381</v>
      </c>
    </row>
    <row r="78" spans="1:19" ht="124" x14ac:dyDescent="0.3">
      <c r="A78" s="161" t="s">
        <v>52</v>
      </c>
      <c r="B78" s="20" t="s">
        <v>117</v>
      </c>
      <c r="C78" s="161" t="s">
        <v>8</v>
      </c>
      <c r="D78" s="20" t="s">
        <v>118</v>
      </c>
      <c r="E78" s="111" t="s">
        <v>61</v>
      </c>
      <c r="F78" s="105" t="s">
        <v>192</v>
      </c>
      <c r="G78" s="21" t="s">
        <v>65</v>
      </c>
      <c r="H78" s="317" t="s">
        <v>333</v>
      </c>
      <c r="I78" s="22" t="s">
        <v>15</v>
      </c>
      <c r="J78" s="161" t="s">
        <v>56</v>
      </c>
      <c r="K78" s="161"/>
      <c r="L78" s="70"/>
      <c r="M78" s="70"/>
      <c r="N78" s="515"/>
      <c r="O78" s="24">
        <v>6480000</v>
      </c>
      <c r="P78" s="24"/>
      <c r="Q78" s="28"/>
      <c r="R78" s="345"/>
      <c r="S78" s="408" t="s">
        <v>381</v>
      </c>
    </row>
    <row r="79" spans="1:19" ht="124" x14ac:dyDescent="0.3">
      <c r="A79" s="161" t="s">
        <v>52</v>
      </c>
      <c r="B79" s="20" t="s">
        <v>117</v>
      </c>
      <c r="C79" s="161" t="s">
        <v>8</v>
      </c>
      <c r="D79" s="20" t="s">
        <v>118</v>
      </c>
      <c r="E79" s="111" t="s">
        <v>61</v>
      </c>
      <c r="F79" s="105" t="s">
        <v>192</v>
      </c>
      <c r="G79" s="21" t="s">
        <v>66</v>
      </c>
      <c r="H79" s="317" t="s">
        <v>333</v>
      </c>
      <c r="I79" s="22" t="s">
        <v>15</v>
      </c>
      <c r="J79" s="161" t="s">
        <v>56</v>
      </c>
      <c r="K79" s="161"/>
      <c r="L79" s="70"/>
      <c r="M79" s="70"/>
      <c r="N79" s="515"/>
      <c r="O79" s="24">
        <v>23850000</v>
      </c>
      <c r="P79" s="24"/>
      <c r="Q79" s="28"/>
      <c r="R79" s="345"/>
      <c r="S79" s="408" t="s">
        <v>381</v>
      </c>
    </row>
    <row r="80" spans="1:19" ht="124" x14ac:dyDescent="0.3">
      <c r="A80" s="161" t="s">
        <v>52</v>
      </c>
      <c r="B80" s="20" t="s">
        <v>117</v>
      </c>
      <c r="C80" s="161" t="s">
        <v>8</v>
      </c>
      <c r="D80" s="20" t="s">
        <v>118</v>
      </c>
      <c r="E80" s="111" t="s">
        <v>61</v>
      </c>
      <c r="F80" s="105" t="s">
        <v>192</v>
      </c>
      <c r="G80" s="21" t="s">
        <v>178</v>
      </c>
      <c r="H80" s="317" t="s">
        <v>333</v>
      </c>
      <c r="I80" s="22" t="s">
        <v>15</v>
      </c>
      <c r="J80" s="161" t="s">
        <v>56</v>
      </c>
      <c r="K80" s="161"/>
      <c r="L80" s="70"/>
      <c r="M80" s="70"/>
      <c r="N80" s="515"/>
      <c r="O80" s="24"/>
      <c r="P80" s="24"/>
      <c r="Q80" s="28"/>
      <c r="R80" s="345"/>
      <c r="S80" s="408" t="s">
        <v>381</v>
      </c>
    </row>
    <row r="81" spans="1:19" ht="120" customHeight="1" x14ac:dyDescent="0.3">
      <c r="A81" s="161" t="s">
        <v>52</v>
      </c>
      <c r="B81" s="20" t="s">
        <v>117</v>
      </c>
      <c r="C81" s="161" t="s">
        <v>8</v>
      </c>
      <c r="D81" s="20" t="s">
        <v>118</v>
      </c>
      <c r="E81" s="111" t="s">
        <v>61</v>
      </c>
      <c r="F81" s="105" t="s">
        <v>192</v>
      </c>
      <c r="G81" s="21" t="s">
        <v>179</v>
      </c>
      <c r="H81" s="317" t="s">
        <v>333</v>
      </c>
      <c r="I81" s="22" t="s">
        <v>15</v>
      </c>
      <c r="J81" s="161" t="s">
        <v>56</v>
      </c>
      <c r="K81" s="161"/>
      <c r="L81" s="70"/>
      <c r="M81" s="70"/>
      <c r="N81" s="515"/>
      <c r="O81" s="24"/>
      <c r="P81" s="24"/>
      <c r="Q81" s="28"/>
      <c r="R81" s="345"/>
      <c r="S81" s="408" t="s">
        <v>381</v>
      </c>
    </row>
    <row r="82" spans="1:19" ht="115.5" customHeight="1" x14ac:dyDescent="0.3">
      <c r="A82" s="161" t="s">
        <v>52</v>
      </c>
      <c r="B82" s="20" t="s">
        <v>117</v>
      </c>
      <c r="C82" s="161" t="s">
        <v>8</v>
      </c>
      <c r="D82" s="20" t="s">
        <v>118</v>
      </c>
      <c r="E82" s="111" t="s">
        <v>61</v>
      </c>
      <c r="F82" s="105" t="s">
        <v>192</v>
      </c>
      <c r="G82" s="21" t="s">
        <v>174</v>
      </c>
      <c r="H82" s="317" t="s">
        <v>333</v>
      </c>
      <c r="I82" s="22" t="s">
        <v>15</v>
      </c>
      <c r="J82" s="161" t="s">
        <v>56</v>
      </c>
      <c r="K82" s="161"/>
      <c r="L82" s="70"/>
      <c r="M82" s="70"/>
      <c r="N82" s="515"/>
      <c r="O82" s="24">
        <v>36980000</v>
      </c>
      <c r="P82" s="24"/>
      <c r="Q82" s="28"/>
      <c r="R82" s="345"/>
      <c r="S82" s="408" t="s">
        <v>381</v>
      </c>
    </row>
    <row r="83" spans="1:19" ht="115.5" customHeight="1" x14ac:dyDescent="0.3">
      <c r="A83" s="161" t="s">
        <v>52</v>
      </c>
      <c r="B83" s="20" t="s">
        <v>117</v>
      </c>
      <c r="C83" s="161" t="s">
        <v>8</v>
      </c>
      <c r="D83" s="20" t="s">
        <v>118</v>
      </c>
      <c r="E83" s="111" t="s">
        <v>61</v>
      </c>
      <c r="F83" s="105" t="s">
        <v>192</v>
      </c>
      <c r="G83" s="21" t="s">
        <v>177</v>
      </c>
      <c r="H83" s="317" t="s">
        <v>333</v>
      </c>
      <c r="I83" s="22" t="s">
        <v>15</v>
      </c>
      <c r="J83" s="161" t="s">
        <v>56</v>
      </c>
      <c r="K83" s="161"/>
      <c r="L83" s="70"/>
      <c r="M83" s="70"/>
      <c r="N83" s="515"/>
      <c r="O83" s="24"/>
      <c r="P83" s="24"/>
      <c r="Q83" s="28"/>
      <c r="R83" s="345"/>
      <c r="S83" s="408" t="s">
        <v>381</v>
      </c>
    </row>
    <row r="84" spans="1:19" ht="115.5" customHeight="1" x14ac:dyDescent="0.3">
      <c r="A84" s="161" t="s">
        <v>52</v>
      </c>
      <c r="B84" s="20" t="s">
        <v>117</v>
      </c>
      <c r="C84" s="161" t="s">
        <v>8</v>
      </c>
      <c r="D84" s="20" t="s">
        <v>118</v>
      </c>
      <c r="E84" s="111" t="s">
        <v>61</v>
      </c>
      <c r="F84" s="105" t="s">
        <v>192</v>
      </c>
      <c r="G84" s="21" t="s">
        <v>242</v>
      </c>
      <c r="H84" s="317" t="s">
        <v>333</v>
      </c>
      <c r="I84" s="22" t="s">
        <v>15</v>
      </c>
      <c r="J84" s="161" t="s">
        <v>56</v>
      </c>
      <c r="K84" s="161"/>
      <c r="L84" s="70"/>
      <c r="M84" s="70"/>
      <c r="N84" s="516"/>
      <c r="O84" s="24">
        <v>800000</v>
      </c>
      <c r="P84" s="24"/>
      <c r="Q84" s="28"/>
      <c r="R84" s="345"/>
      <c r="S84" s="408" t="s">
        <v>381</v>
      </c>
    </row>
    <row r="85" spans="1:19" ht="115.5" customHeight="1" x14ac:dyDescent="0.3">
      <c r="A85" s="161" t="s">
        <v>52</v>
      </c>
      <c r="B85" s="20" t="s">
        <v>117</v>
      </c>
      <c r="C85" s="161" t="s">
        <v>8</v>
      </c>
      <c r="D85" s="20" t="s">
        <v>118</v>
      </c>
      <c r="E85" s="105" t="s">
        <v>53</v>
      </c>
      <c r="F85" s="105" t="s">
        <v>192</v>
      </c>
      <c r="G85" s="21" t="s">
        <v>100</v>
      </c>
      <c r="H85" s="317" t="s">
        <v>333</v>
      </c>
      <c r="I85" s="22" t="s">
        <v>15</v>
      </c>
      <c r="J85" s="23" t="s">
        <v>69</v>
      </c>
      <c r="K85" s="66" t="s">
        <v>645</v>
      </c>
      <c r="L85" s="414" t="s">
        <v>568</v>
      </c>
      <c r="M85" s="414" t="s">
        <v>569</v>
      </c>
      <c r="N85" s="218">
        <v>1550000000</v>
      </c>
      <c r="O85" s="211">
        <v>59400000</v>
      </c>
      <c r="P85" s="216" t="s">
        <v>570</v>
      </c>
      <c r="Q85" s="28">
        <f t="shared" ref="Q85" si="6">(O85/N85)*100</f>
        <v>3.8322580645161288</v>
      </c>
      <c r="R85" s="458" t="s">
        <v>570</v>
      </c>
      <c r="S85" s="400" t="s">
        <v>382</v>
      </c>
    </row>
    <row r="86" spans="1:19" ht="99.75" customHeight="1" x14ac:dyDescent="0.3">
      <c r="A86" s="161" t="s">
        <v>52</v>
      </c>
      <c r="B86" s="20" t="s">
        <v>117</v>
      </c>
      <c r="C86" s="161" t="s">
        <v>8</v>
      </c>
      <c r="D86" s="20" t="s">
        <v>118</v>
      </c>
      <c r="E86" s="105"/>
      <c r="F86" s="105" t="s">
        <v>192</v>
      </c>
      <c r="G86" s="21" t="s">
        <v>83</v>
      </c>
      <c r="H86" s="317" t="s">
        <v>333</v>
      </c>
      <c r="I86" s="22" t="s">
        <v>15</v>
      </c>
      <c r="J86" s="161" t="s">
        <v>56</v>
      </c>
      <c r="K86" s="161"/>
      <c r="L86" s="70"/>
      <c r="M86" s="70"/>
      <c r="N86" s="71"/>
      <c r="O86" s="24">
        <v>100000000</v>
      </c>
      <c r="P86" s="24"/>
      <c r="Q86" s="28"/>
      <c r="R86" s="345"/>
      <c r="S86" s="161"/>
    </row>
    <row r="87" spans="1:19" ht="99.75" customHeight="1" x14ac:dyDescent="0.3">
      <c r="A87" s="161" t="s">
        <v>52</v>
      </c>
      <c r="B87" s="20" t="s">
        <v>117</v>
      </c>
      <c r="C87" s="161" t="s">
        <v>8</v>
      </c>
      <c r="D87" s="20" t="s">
        <v>118</v>
      </c>
      <c r="E87" s="105"/>
      <c r="F87" s="105" t="s">
        <v>192</v>
      </c>
      <c r="G87" s="21" t="s">
        <v>241</v>
      </c>
      <c r="H87" s="317" t="s">
        <v>333</v>
      </c>
      <c r="I87" s="22" t="s">
        <v>15</v>
      </c>
      <c r="J87" s="161" t="s">
        <v>56</v>
      </c>
      <c r="K87" s="161"/>
      <c r="L87" s="70"/>
      <c r="M87" s="70"/>
      <c r="N87" s="71"/>
      <c r="O87" s="24">
        <v>26500000</v>
      </c>
      <c r="P87" s="24"/>
      <c r="Q87" s="28"/>
      <c r="R87" s="345"/>
      <c r="S87" s="161"/>
    </row>
    <row r="88" spans="1:19" ht="243.75" customHeight="1" x14ac:dyDescent="0.3">
      <c r="A88" s="161" t="s">
        <v>52</v>
      </c>
      <c r="B88" s="20" t="s">
        <v>117</v>
      </c>
      <c r="C88" s="161" t="s">
        <v>8</v>
      </c>
      <c r="D88" s="20" t="s">
        <v>118</v>
      </c>
      <c r="E88" s="111" t="s">
        <v>170</v>
      </c>
      <c r="F88" s="105" t="s">
        <v>192</v>
      </c>
      <c r="G88" s="21" t="s">
        <v>171</v>
      </c>
      <c r="H88" s="317" t="s">
        <v>333</v>
      </c>
      <c r="I88" s="22" t="s">
        <v>15</v>
      </c>
      <c r="J88" s="161" t="s">
        <v>56</v>
      </c>
      <c r="K88" s="161"/>
      <c r="L88" s="70"/>
      <c r="M88" s="70"/>
      <c r="N88" s="71"/>
      <c r="O88" s="24">
        <v>30800000</v>
      </c>
      <c r="P88" s="24"/>
      <c r="Q88" s="28"/>
      <c r="R88" s="345"/>
      <c r="S88" s="20" t="s">
        <v>383</v>
      </c>
    </row>
    <row r="89" spans="1:19" ht="206.25" customHeight="1" x14ac:dyDescent="0.3">
      <c r="A89" s="161" t="s">
        <v>52</v>
      </c>
      <c r="B89" s="20" t="s">
        <v>117</v>
      </c>
      <c r="C89" s="161" t="s">
        <v>8</v>
      </c>
      <c r="D89" s="20" t="s">
        <v>118</v>
      </c>
      <c r="E89" s="111" t="s">
        <v>170</v>
      </c>
      <c r="F89" s="105" t="s">
        <v>192</v>
      </c>
      <c r="G89" s="21" t="s">
        <v>172</v>
      </c>
      <c r="H89" s="317" t="s">
        <v>333</v>
      </c>
      <c r="I89" s="22" t="s">
        <v>15</v>
      </c>
      <c r="J89" s="161" t="s">
        <v>56</v>
      </c>
      <c r="K89" s="161"/>
      <c r="L89" s="70"/>
      <c r="M89" s="70"/>
      <c r="N89" s="71"/>
      <c r="O89" s="24">
        <v>8000000</v>
      </c>
      <c r="P89" s="24"/>
      <c r="Q89" s="28"/>
      <c r="R89" s="345"/>
      <c r="S89" s="20" t="s">
        <v>383</v>
      </c>
    </row>
    <row r="90" spans="1:19" ht="280.5" customHeight="1" x14ac:dyDescent="0.3">
      <c r="A90" s="20" t="s">
        <v>52</v>
      </c>
      <c r="B90" s="20" t="s">
        <v>117</v>
      </c>
      <c r="C90" s="20" t="s">
        <v>8</v>
      </c>
      <c r="D90" s="20" t="s">
        <v>118</v>
      </c>
      <c r="E90" s="164" t="s">
        <v>84</v>
      </c>
      <c r="F90" s="105" t="s">
        <v>192</v>
      </c>
      <c r="G90" s="72" t="s">
        <v>86</v>
      </c>
      <c r="H90" s="317"/>
      <c r="I90" s="22" t="s">
        <v>15</v>
      </c>
      <c r="J90" s="20" t="s">
        <v>85</v>
      </c>
      <c r="K90" s="20"/>
      <c r="L90" s="27"/>
      <c r="M90" s="69"/>
      <c r="N90" s="74"/>
      <c r="O90" s="24"/>
      <c r="P90" s="24"/>
      <c r="Q90" s="28"/>
      <c r="R90" s="345"/>
      <c r="S90" s="20" t="s">
        <v>384</v>
      </c>
    </row>
    <row r="91" spans="1:19" ht="285" customHeight="1" x14ac:dyDescent="0.3">
      <c r="A91" s="20" t="s">
        <v>52</v>
      </c>
      <c r="B91" s="20" t="s">
        <v>117</v>
      </c>
      <c r="C91" s="20" t="s">
        <v>3</v>
      </c>
      <c r="D91" s="20" t="s">
        <v>180</v>
      </c>
      <c r="E91" s="164" t="s">
        <v>181</v>
      </c>
      <c r="F91" s="105"/>
      <c r="G91" s="72" t="s">
        <v>182</v>
      </c>
      <c r="H91" s="317" t="s">
        <v>333</v>
      </c>
      <c r="I91" s="22" t="s">
        <v>15</v>
      </c>
      <c r="J91" s="20"/>
      <c r="K91" s="20"/>
      <c r="L91" s="27"/>
      <c r="M91" s="69"/>
      <c r="N91" s="74"/>
      <c r="O91" s="24"/>
      <c r="P91" s="24"/>
      <c r="Q91" s="28"/>
      <c r="R91" s="345"/>
      <c r="S91" s="20" t="s">
        <v>385</v>
      </c>
    </row>
    <row r="92" spans="1:19" ht="173.25" customHeight="1" x14ac:dyDescent="0.3">
      <c r="A92" s="163" t="s">
        <v>9</v>
      </c>
      <c r="B92" s="163" t="s">
        <v>119</v>
      </c>
      <c r="C92" s="163" t="s">
        <v>8</v>
      </c>
      <c r="D92" s="163" t="s">
        <v>120</v>
      </c>
      <c r="E92" s="112" t="s">
        <v>107</v>
      </c>
      <c r="F92" s="503" t="s">
        <v>194</v>
      </c>
      <c r="G92" s="159" t="s">
        <v>33</v>
      </c>
      <c r="H92" s="31" t="s">
        <v>339</v>
      </c>
      <c r="I92" s="30" t="s">
        <v>14</v>
      </c>
      <c r="J92" s="31" t="s">
        <v>47</v>
      </c>
      <c r="K92" s="31"/>
      <c r="L92" s="32"/>
      <c r="M92" s="32"/>
      <c r="N92" s="33">
        <v>2400000000</v>
      </c>
      <c r="O92" s="249">
        <v>119460205</v>
      </c>
      <c r="P92" s="420" t="s">
        <v>655</v>
      </c>
      <c r="Q92" s="35">
        <f t="shared" ref="Q92:Q102" si="7">(O92/N92)*100</f>
        <v>4.9775085416666673</v>
      </c>
      <c r="R92" s="345"/>
      <c r="S92" s="163" t="s">
        <v>386</v>
      </c>
    </row>
    <row r="93" spans="1:19" ht="189" customHeight="1" x14ac:dyDescent="0.3">
      <c r="A93" s="163" t="s">
        <v>9</v>
      </c>
      <c r="B93" s="163" t="s">
        <v>119</v>
      </c>
      <c r="C93" s="163" t="s">
        <v>8</v>
      </c>
      <c r="D93" s="163" t="s">
        <v>120</v>
      </c>
      <c r="E93" s="112" t="s">
        <v>108</v>
      </c>
      <c r="F93" s="503" t="s">
        <v>194</v>
      </c>
      <c r="G93" s="159" t="s">
        <v>34</v>
      </c>
      <c r="H93" s="31" t="s">
        <v>339</v>
      </c>
      <c r="I93" s="30" t="s">
        <v>14</v>
      </c>
      <c r="J93" s="31" t="s">
        <v>47</v>
      </c>
      <c r="K93" s="31"/>
      <c r="L93" s="32"/>
      <c r="M93" s="32"/>
      <c r="N93" s="33">
        <v>600000000</v>
      </c>
      <c r="O93" s="75">
        <f>47474714.13+52107214.25</f>
        <v>99581928.379999995</v>
      </c>
      <c r="P93" s="421" t="s">
        <v>656</v>
      </c>
      <c r="Q93" s="35">
        <f t="shared" si="7"/>
        <v>16.596988063333331</v>
      </c>
      <c r="R93" s="345">
        <f>18980466.6+650000</f>
        <v>19630466.600000001</v>
      </c>
      <c r="S93" s="163" t="s">
        <v>386</v>
      </c>
    </row>
    <row r="94" spans="1:19" ht="153.75" customHeight="1" x14ac:dyDescent="0.3">
      <c r="A94" s="163" t="s">
        <v>9</v>
      </c>
      <c r="B94" s="163" t="s">
        <v>119</v>
      </c>
      <c r="C94" s="163" t="s">
        <v>8</v>
      </c>
      <c r="D94" s="163" t="s">
        <v>120</v>
      </c>
      <c r="E94" s="112" t="s">
        <v>438</v>
      </c>
      <c r="F94" s="503" t="s">
        <v>194</v>
      </c>
      <c r="G94" s="160" t="s">
        <v>35</v>
      </c>
      <c r="H94" s="31" t="s">
        <v>339</v>
      </c>
      <c r="I94" s="30" t="s">
        <v>14</v>
      </c>
      <c r="J94" s="31" t="s">
        <v>47</v>
      </c>
      <c r="K94" s="31"/>
      <c r="L94" s="32"/>
      <c r="M94" s="32"/>
      <c r="N94" s="33">
        <v>400000000</v>
      </c>
      <c r="O94" s="34">
        <v>34999028.340000004</v>
      </c>
      <c r="P94" s="75" t="s">
        <v>441</v>
      </c>
      <c r="Q94" s="35">
        <f t="shared" si="7"/>
        <v>8.7497570850000006</v>
      </c>
      <c r="R94" s="345"/>
      <c r="S94" s="163" t="s">
        <v>387</v>
      </c>
    </row>
    <row r="95" spans="1:19" ht="153.75" customHeight="1" x14ac:dyDescent="0.3">
      <c r="A95" s="163" t="s">
        <v>9</v>
      </c>
      <c r="B95" s="163" t="s">
        <v>119</v>
      </c>
      <c r="C95" s="163" t="s">
        <v>8</v>
      </c>
      <c r="D95" s="163" t="s">
        <v>120</v>
      </c>
      <c r="E95" s="112" t="s">
        <v>27</v>
      </c>
      <c r="F95" s="503" t="s">
        <v>194</v>
      </c>
      <c r="G95" s="159" t="s">
        <v>36</v>
      </c>
      <c r="H95" s="31" t="s">
        <v>339</v>
      </c>
      <c r="I95" s="30" t="s">
        <v>14</v>
      </c>
      <c r="J95" s="31" t="s">
        <v>47</v>
      </c>
      <c r="K95" s="31"/>
      <c r="L95" s="32"/>
      <c r="M95" s="33"/>
      <c r="N95" s="33">
        <v>300000000</v>
      </c>
      <c r="O95" s="34">
        <v>34825334.479999997</v>
      </c>
      <c r="P95" s="75" t="s">
        <v>670</v>
      </c>
      <c r="Q95" s="35"/>
      <c r="R95" s="345"/>
      <c r="S95" s="163" t="s">
        <v>388</v>
      </c>
    </row>
    <row r="96" spans="1:19" ht="219.75" customHeight="1" x14ac:dyDescent="0.3">
      <c r="A96" s="163" t="s">
        <v>9</v>
      </c>
      <c r="B96" s="163" t="s">
        <v>119</v>
      </c>
      <c r="C96" s="163" t="s">
        <v>8</v>
      </c>
      <c r="D96" s="163" t="s">
        <v>120</v>
      </c>
      <c r="E96" s="112" t="s">
        <v>483</v>
      </c>
      <c r="F96" s="503" t="s">
        <v>467</v>
      </c>
      <c r="G96" s="360" t="s">
        <v>484</v>
      </c>
      <c r="H96" s="31" t="s">
        <v>463</v>
      </c>
      <c r="I96" s="30" t="s">
        <v>14</v>
      </c>
      <c r="J96" s="31" t="s">
        <v>525</v>
      </c>
      <c r="K96" s="31"/>
      <c r="L96" s="385" t="s">
        <v>526</v>
      </c>
      <c r="M96" s="31" t="s">
        <v>527</v>
      </c>
      <c r="N96" s="33">
        <v>1500000000</v>
      </c>
      <c r="O96" s="34">
        <v>57661517.850000001</v>
      </c>
      <c r="P96" s="34" t="s">
        <v>475</v>
      </c>
      <c r="Q96" s="299">
        <f t="shared" ref="Q96" si="8">(O96/N96)*100</f>
        <v>3.8441011900000004</v>
      </c>
      <c r="R96" s="345"/>
      <c r="S96" s="163"/>
    </row>
    <row r="97" spans="1:19" ht="219.65" customHeight="1" x14ac:dyDescent="0.3">
      <c r="A97" s="163" t="s">
        <v>9</v>
      </c>
      <c r="B97" s="163" t="s">
        <v>121</v>
      </c>
      <c r="C97" s="163" t="s">
        <v>8</v>
      </c>
      <c r="D97" s="163" t="s">
        <v>122</v>
      </c>
      <c r="E97" s="112" t="s">
        <v>466</v>
      </c>
      <c r="F97" s="503" t="s">
        <v>467</v>
      </c>
      <c r="G97" s="159" t="s">
        <v>187</v>
      </c>
      <c r="H97" s="31" t="s">
        <v>463</v>
      </c>
      <c r="I97" s="30" t="s">
        <v>14</v>
      </c>
      <c r="J97" s="31" t="s">
        <v>253</v>
      </c>
      <c r="K97" s="30"/>
      <c r="L97" s="31" t="s">
        <v>186</v>
      </c>
      <c r="M97" s="349">
        <v>46022</v>
      </c>
      <c r="N97" s="350">
        <v>1500000000</v>
      </c>
      <c r="O97" s="351">
        <v>200000000</v>
      </c>
      <c r="P97" s="31"/>
      <c r="Q97" s="299">
        <f>(O97/N97)*100</f>
        <v>13.333333333333334</v>
      </c>
      <c r="R97" s="345"/>
      <c r="S97" s="416" t="s">
        <v>390</v>
      </c>
    </row>
    <row r="98" spans="1:19" ht="219.75" customHeight="1" x14ac:dyDescent="0.3">
      <c r="A98" s="163" t="s">
        <v>9</v>
      </c>
      <c r="B98" s="163" t="s">
        <v>119</v>
      </c>
      <c r="C98" s="163" t="s">
        <v>8</v>
      </c>
      <c r="D98" s="163" t="s">
        <v>120</v>
      </c>
      <c r="E98" s="112" t="s">
        <v>589</v>
      </c>
      <c r="F98" s="503" t="s">
        <v>467</v>
      </c>
      <c r="G98" s="159" t="s">
        <v>590</v>
      </c>
      <c r="H98" s="31" t="s">
        <v>463</v>
      </c>
      <c r="I98" s="30" t="s">
        <v>14</v>
      </c>
      <c r="J98" s="31"/>
      <c r="K98" s="30"/>
      <c r="L98" s="31"/>
      <c r="M98" s="349"/>
      <c r="N98" s="350">
        <v>250000000</v>
      </c>
      <c r="O98" s="351">
        <v>6482500</v>
      </c>
      <c r="P98" s="31" t="s">
        <v>591</v>
      </c>
      <c r="Q98" s="299">
        <f>(O98/N98)*100</f>
        <v>2.593</v>
      </c>
      <c r="R98" s="345"/>
      <c r="S98" s="416"/>
    </row>
    <row r="99" spans="1:19" ht="219.75" customHeight="1" x14ac:dyDescent="0.3">
      <c r="A99" s="163" t="s">
        <v>9</v>
      </c>
      <c r="B99" s="163" t="s">
        <v>119</v>
      </c>
      <c r="C99" s="163" t="s">
        <v>8</v>
      </c>
      <c r="D99" s="163" t="s">
        <v>120</v>
      </c>
      <c r="E99" s="163" t="s">
        <v>476</v>
      </c>
      <c r="F99" s="163" t="s">
        <v>194</v>
      </c>
      <c r="G99" s="163" t="s">
        <v>682</v>
      </c>
      <c r="H99" s="31" t="s">
        <v>339</v>
      </c>
      <c r="I99" s="30" t="s">
        <v>14</v>
      </c>
      <c r="J99" s="31" t="s">
        <v>681</v>
      </c>
      <c r="K99" s="31"/>
      <c r="L99" s="31" t="s">
        <v>307</v>
      </c>
      <c r="M99" s="31" t="s">
        <v>420</v>
      </c>
      <c r="N99" s="350">
        <v>960000000</v>
      </c>
      <c r="O99" s="350">
        <v>49596725</v>
      </c>
      <c r="P99" s="31"/>
      <c r="Q99" s="299">
        <f>(O99/N99)*100</f>
        <v>5.1663255208333334</v>
      </c>
      <c r="R99" s="345" t="s">
        <v>707</v>
      </c>
      <c r="S99" s="163" t="s">
        <v>629</v>
      </c>
    </row>
    <row r="100" spans="1:19" ht="162" customHeight="1" x14ac:dyDescent="0.3">
      <c r="A100" s="163" t="s">
        <v>9</v>
      </c>
      <c r="B100" s="163" t="s">
        <v>119</v>
      </c>
      <c r="C100" s="163" t="s">
        <v>8</v>
      </c>
      <c r="D100" s="163" t="s">
        <v>120</v>
      </c>
      <c r="E100" s="163" t="s">
        <v>477</v>
      </c>
      <c r="F100" s="163" t="s">
        <v>467</v>
      </c>
      <c r="G100" s="163" t="s">
        <v>478</v>
      </c>
      <c r="H100" s="31" t="s">
        <v>462</v>
      </c>
      <c r="I100" s="30" t="s">
        <v>14</v>
      </c>
      <c r="J100" s="31"/>
      <c r="K100" s="31"/>
      <c r="L100" s="394" t="s">
        <v>545</v>
      </c>
      <c r="M100" s="386" t="s">
        <v>528</v>
      </c>
      <c r="N100" s="350">
        <v>500000000</v>
      </c>
      <c r="O100" s="351">
        <v>20000000</v>
      </c>
      <c r="P100" s="357"/>
      <c r="Q100" s="299"/>
      <c r="R100" s="345"/>
      <c r="S100" s="401" t="s">
        <v>628</v>
      </c>
    </row>
    <row r="101" spans="1:19" ht="219.75" customHeight="1" x14ac:dyDescent="0.3">
      <c r="A101" s="163" t="s">
        <v>9</v>
      </c>
      <c r="B101" s="163" t="s">
        <v>119</v>
      </c>
      <c r="C101" s="163" t="s">
        <v>8</v>
      </c>
      <c r="D101" s="163" t="s">
        <v>120</v>
      </c>
      <c r="E101" s="163" t="s">
        <v>515</v>
      </c>
      <c r="F101" s="163" t="s">
        <v>467</v>
      </c>
      <c r="G101" s="163" t="s">
        <v>516</v>
      </c>
      <c r="H101" s="31" t="s">
        <v>339</v>
      </c>
      <c r="I101" s="30" t="s">
        <v>14</v>
      </c>
      <c r="J101" s="31"/>
      <c r="K101" s="31"/>
      <c r="L101" s="31"/>
      <c r="M101" s="31"/>
      <c r="N101" s="350">
        <v>2100000000</v>
      </c>
      <c r="O101" s="351">
        <f>187028474.57+53240717.22</f>
        <v>240269191.78999999</v>
      </c>
      <c r="P101" s="357" t="s">
        <v>517</v>
      </c>
      <c r="Q101" s="299">
        <f t="shared" si="7"/>
        <v>11.441390085238094</v>
      </c>
      <c r="R101" s="345"/>
      <c r="S101" s="401"/>
    </row>
    <row r="102" spans="1:19" ht="214.5" customHeight="1" x14ac:dyDescent="0.3">
      <c r="A102" s="163" t="s">
        <v>9</v>
      </c>
      <c r="B102" s="163" t="s">
        <v>119</v>
      </c>
      <c r="C102" s="163" t="s">
        <v>8</v>
      </c>
      <c r="D102" s="163" t="s">
        <v>120</v>
      </c>
      <c r="E102" s="112" t="s">
        <v>105</v>
      </c>
      <c r="F102" s="503" t="s">
        <v>194</v>
      </c>
      <c r="G102" s="159" t="s">
        <v>37</v>
      </c>
      <c r="H102" s="31" t="s">
        <v>339</v>
      </c>
      <c r="I102" s="30" t="s">
        <v>14</v>
      </c>
      <c r="J102" s="31" t="s">
        <v>47</v>
      </c>
      <c r="K102" s="31"/>
      <c r="L102" s="32"/>
      <c r="M102" s="32"/>
      <c r="N102" s="33">
        <v>500000000</v>
      </c>
      <c r="O102" s="34">
        <v>68839045.799999997</v>
      </c>
      <c r="P102" s="34"/>
      <c r="Q102" s="299">
        <f t="shared" si="7"/>
        <v>13.767809159999999</v>
      </c>
      <c r="R102" s="345"/>
      <c r="S102" s="163" t="s">
        <v>391</v>
      </c>
    </row>
    <row r="103" spans="1:19" ht="351.75" customHeight="1" x14ac:dyDescent="0.3">
      <c r="A103" s="163" t="s">
        <v>9</v>
      </c>
      <c r="B103" s="163" t="s">
        <v>119</v>
      </c>
      <c r="C103" s="163" t="s">
        <v>3</v>
      </c>
      <c r="D103" s="163" t="s">
        <v>453</v>
      </c>
      <c r="E103" s="112" t="s">
        <v>455</v>
      </c>
      <c r="F103" s="503" t="s">
        <v>467</v>
      </c>
      <c r="G103" s="112" t="s">
        <v>456</v>
      </c>
      <c r="H103" s="31" t="s">
        <v>462</v>
      </c>
      <c r="I103" s="30" t="s">
        <v>457</v>
      </c>
      <c r="J103" s="31"/>
      <c r="K103" s="31"/>
      <c r="L103" s="32"/>
      <c r="M103" s="32"/>
      <c r="N103" s="33"/>
      <c r="O103" s="34">
        <v>319992088.02999997</v>
      </c>
      <c r="P103" s="75" t="s">
        <v>459</v>
      </c>
      <c r="Q103" s="299"/>
      <c r="R103" s="345"/>
      <c r="S103" s="163"/>
    </row>
    <row r="104" spans="1:19" ht="249.75" customHeight="1" x14ac:dyDescent="0.3">
      <c r="A104" s="163" t="s">
        <v>9</v>
      </c>
      <c r="B104" s="163" t="s">
        <v>119</v>
      </c>
      <c r="C104" s="163" t="s">
        <v>3</v>
      </c>
      <c r="D104" s="163" t="s">
        <v>453</v>
      </c>
      <c r="E104" s="112" t="s">
        <v>454</v>
      </c>
      <c r="F104" s="503" t="s">
        <v>467</v>
      </c>
      <c r="G104" s="112" t="s">
        <v>460</v>
      </c>
      <c r="H104" s="31" t="s">
        <v>462</v>
      </c>
      <c r="I104" s="30" t="s">
        <v>457</v>
      </c>
      <c r="J104" s="31"/>
      <c r="K104" s="31"/>
      <c r="L104" s="32"/>
      <c r="M104" s="32"/>
      <c r="N104" s="33"/>
      <c r="O104" s="34">
        <v>109996000.5</v>
      </c>
      <c r="P104" s="75" t="s">
        <v>458</v>
      </c>
      <c r="Q104" s="299"/>
      <c r="R104" s="345"/>
      <c r="S104" s="163"/>
    </row>
    <row r="105" spans="1:19" ht="232.5" customHeight="1" x14ac:dyDescent="0.3">
      <c r="A105" s="163" t="s">
        <v>9</v>
      </c>
      <c r="B105" s="163" t="s">
        <v>119</v>
      </c>
      <c r="C105" s="163" t="s">
        <v>3</v>
      </c>
      <c r="D105" s="163" t="s">
        <v>453</v>
      </c>
      <c r="E105" s="112" t="s">
        <v>461</v>
      </c>
      <c r="F105" s="503" t="s">
        <v>467</v>
      </c>
      <c r="G105" s="112" t="s">
        <v>465</v>
      </c>
      <c r="H105" s="31" t="s">
        <v>462</v>
      </c>
      <c r="I105" s="30" t="s">
        <v>457</v>
      </c>
      <c r="J105" s="31"/>
      <c r="K105" s="31"/>
      <c r="L105" s="32"/>
      <c r="M105" s="32"/>
      <c r="N105" s="33"/>
      <c r="O105" s="34">
        <v>68872020</v>
      </c>
      <c r="P105" s="75" t="s">
        <v>464</v>
      </c>
      <c r="Q105" s="299"/>
      <c r="R105" s="345"/>
      <c r="S105" s="163"/>
    </row>
    <row r="106" spans="1:19" ht="294" customHeight="1" x14ac:dyDescent="0.3">
      <c r="A106" s="225" t="s">
        <v>6</v>
      </c>
      <c r="B106" s="225" t="s">
        <v>121</v>
      </c>
      <c r="C106" s="225" t="s">
        <v>8</v>
      </c>
      <c r="D106" s="225" t="s">
        <v>122</v>
      </c>
      <c r="E106" s="226" t="s">
        <v>89</v>
      </c>
      <c r="F106" s="506" t="s">
        <v>198</v>
      </c>
      <c r="G106" s="227" t="s">
        <v>480</v>
      </c>
      <c r="H106" s="313" t="s">
        <v>345</v>
      </c>
      <c r="I106" s="228" t="s">
        <v>43</v>
      </c>
      <c r="J106" s="229" t="s">
        <v>69</v>
      </c>
      <c r="K106" s="229"/>
      <c r="L106" s="404" t="s">
        <v>440</v>
      </c>
      <c r="M106" s="230" t="s">
        <v>439</v>
      </c>
      <c r="N106" s="231">
        <v>880000000</v>
      </c>
      <c r="O106" s="232">
        <v>101288000</v>
      </c>
      <c r="P106" s="232"/>
      <c r="Q106" s="300">
        <f>(O106/N106)*100</f>
        <v>11.51</v>
      </c>
      <c r="R106" s="345"/>
      <c r="S106" s="333" t="s">
        <v>392</v>
      </c>
    </row>
    <row r="107" spans="1:19" ht="408.75" customHeight="1" x14ac:dyDescent="0.3">
      <c r="A107" s="225" t="s">
        <v>6</v>
      </c>
      <c r="B107" s="225" t="s">
        <v>121</v>
      </c>
      <c r="C107" s="225" t="s">
        <v>8</v>
      </c>
      <c r="D107" s="225" t="s">
        <v>122</v>
      </c>
      <c r="E107" s="226" t="s">
        <v>81</v>
      </c>
      <c r="F107" s="506" t="s">
        <v>198</v>
      </c>
      <c r="G107" s="227" t="s">
        <v>544</v>
      </c>
      <c r="H107" s="313" t="s">
        <v>345</v>
      </c>
      <c r="I107" s="228" t="s">
        <v>43</v>
      </c>
      <c r="J107" s="229" t="s">
        <v>69</v>
      </c>
      <c r="K107" s="229"/>
      <c r="L107" s="404" t="s">
        <v>552</v>
      </c>
      <c r="M107" s="356" t="s">
        <v>543</v>
      </c>
      <c r="N107" s="231">
        <v>600000000</v>
      </c>
      <c r="O107" s="336">
        <v>45221048</v>
      </c>
      <c r="P107" s="335" t="s">
        <v>523</v>
      </c>
      <c r="Q107" s="300">
        <f>(O107/N107)*100</f>
        <v>7.5368413333333333</v>
      </c>
      <c r="R107" s="345"/>
      <c r="S107" s="333" t="s">
        <v>393</v>
      </c>
    </row>
    <row r="108" spans="1:19" ht="209.25" customHeight="1" x14ac:dyDescent="0.3">
      <c r="A108" s="225" t="s">
        <v>6</v>
      </c>
      <c r="B108" s="225" t="s">
        <v>121</v>
      </c>
      <c r="C108" s="225" t="s">
        <v>8</v>
      </c>
      <c r="D108" s="225" t="s">
        <v>122</v>
      </c>
      <c r="E108" s="226" t="s">
        <v>88</v>
      </c>
      <c r="F108" s="506" t="s">
        <v>198</v>
      </c>
      <c r="G108" s="227" t="s">
        <v>189</v>
      </c>
      <c r="H108" s="313" t="s">
        <v>345</v>
      </c>
      <c r="I108" s="228" t="s">
        <v>43</v>
      </c>
      <c r="J108" s="229" t="s">
        <v>69</v>
      </c>
      <c r="K108" s="229"/>
      <c r="L108" s="233" t="s">
        <v>524</v>
      </c>
      <c r="M108" s="233" t="s">
        <v>188</v>
      </c>
      <c r="N108" s="231">
        <v>600000000</v>
      </c>
      <c r="O108" s="232"/>
      <c r="P108" s="335" t="s">
        <v>542</v>
      </c>
      <c r="Q108" s="300">
        <f t="shared" ref="Q108:Q119" si="9">(O108/N108)*100</f>
        <v>0</v>
      </c>
      <c r="R108" s="343" t="s">
        <v>541</v>
      </c>
      <c r="S108" s="333" t="s">
        <v>394</v>
      </c>
    </row>
    <row r="109" spans="1:19" ht="198" customHeight="1" x14ac:dyDescent="0.3">
      <c r="A109" s="121" t="s">
        <v>6</v>
      </c>
      <c r="B109" s="121" t="s">
        <v>121</v>
      </c>
      <c r="C109" s="121" t="s">
        <v>3</v>
      </c>
      <c r="D109" s="121" t="s">
        <v>481</v>
      </c>
      <c r="E109" s="122" t="s">
        <v>38</v>
      </c>
      <c r="F109" s="507" t="s">
        <v>197</v>
      </c>
      <c r="G109" s="207" t="s">
        <v>42</v>
      </c>
      <c r="H109" s="169" t="s">
        <v>346</v>
      </c>
      <c r="I109" s="119" t="s">
        <v>43</v>
      </c>
      <c r="J109" s="169" t="s">
        <v>51</v>
      </c>
      <c r="K109" s="169"/>
      <c r="L109" s="119" t="s">
        <v>289</v>
      </c>
      <c r="M109" s="120" t="s">
        <v>290</v>
      </c>
      <c r="N109" s="78">
        <v>84600000</v>
      </c>
      <c r="O109" s="79">
        <v>13533000</v>
      </c>
      <c r="P109" s="79"/>
      <c r="Q109" s="301">
        <f t="shared" si="9"/>
        <v>15.99645390070922</v>
      </c>
      <c r="R109" s="345"/>
      <c r="S109" s="329" t="s">
        <v>395</v>
      </c>
    </row>
    <row r="110" spans="1:19" ht="172.5" customHeight="1" x14ac:dyDescent="0.3">
      <c r="A110" s="121" t="s">
        <v>6</v>
      </c>
      <c r="B110" s="121" t="s">
        <v>121</v>
      </c>
      <c r="C110" s="121" t="s">
        <v>3</v>
      </c>
      <c r="D110" s="121" t="s">
        <v>481</v>
      </c>
      <c r="E110" s="122" t="s">
        <v>39</v>
      </c>
      <c r="F110" s="507" t="s">
        <v>197</v>
      </c>
      <c r="G110" s="207" t="s">
        <v>42</v>
      </c>
      <c r="H110" s="169" t="s">
        <v>346</v>
      </c>
      <c r="I110" s="119" t="s">
        <v>43</v>
      </c>
      <c r="J110" s="169" t="s">
        <v>51</v>
      </c>
      <c r="K110" s="169"/>
      <c r="L110" s="119" t="s">
        <v>289</v>
      </c>
      <c r="M110" s="120" t="s">
        <v>290</v>
      </c>
      <c r="N110" s="78">
        <v>307500000</v>
      </c>
      <c r="O110" s="79">
        <v>48380000</v>
      </c>
      <c r="P110" s="79"/>
      <c r="Q110" s="301">
        <f t="shared" si="9"/>
        <v>15.733333333333333</v>
      </c>
      <c r="R110" s="345"/>
      <c r="S110" s="329" t="s">
        <v>396</v>
      </c>
    </row>
    <row r="111" spans="1:19" ht="164.25" customHeight="1" x14ac:dyDescent="0.3">
      <c r="A111" s="121" t="s">
        <v>6</v>
      </c>
      <c r="B111" s="121" t="s">
        <v>121</v>
      </c>
      <c r="C111" s="121" t="s">
        <v>3</v>
      </c>
      <c r="D111" s="121" t="s">
        <v>481</v>
      </c>
      <c r="E111" s="122" t="s">
        <v>40</v>
      </c>
      <c r="F111" s="507" t="s">
        <v>197</v>
      </c>
      <c r="G111" s="207" t="s">
        <v>42</v>
      </c>
      <c r="H111" s="169" t="s">
        <v>346</v>
      </c>
      <c r="I111" s="119" t="s">
        <v>43</v>
      </c>
      <c r="J111" s="169" t="s">
        <v>51</v>
      </c>
      <c r="K111" s="169"/>
      <c r="L111" s="119" t="s">
        <v>289</v>
      </c>
      <c r="M111" s="120" t="s">
        <v>290</v>
      </c>
      <c r="N111" s="78">
        <v>66000000</v>
      </c>
      <c r="O111" s="79">
        <v>10797600</v>
      </c>
      <c r="P111" s="79"/>
      <c r="Q111" s="301">
        <f t="shared" si="9"/>
        <v>16.36</v>
      </c>
      <c r="R111" s="345"/>
      <c r="S111" s="329" t="s">
        <v>397</v>
      </c>
    </row>
    <row r="112" spans="1:19" ht="358.5" customHeight="1" x14ac:dyDescent="0.3">
      <c r="A112" s="121" t="s">
        <v>6</v>
      </c>
      <c r="B112" s="121" t="s">
        <v>121</v>
      </c>
      <c r="C112" s="121" t="s">
        <v>3</v>
      </c>
      <c r="D112" s="121" t="s">
        <v>481</v>
      </c>
      <c r="E112" s="122" t="s">
        <v>41</v>
      </c>
      <c r="F112" s="507" t="s">
        <v>197</v>
      </c>
      <c r="G112" s="207" t="s">
        <v>42</v>
      </c>
      <c r="H112" s="169" t="s">
        <v>346</v>
      </c>
      <c r="I112" s="119" t="s">
        <v>43</v>
      </c>
      <c r="J112" s="169" t="s">
        <v>51</v>
      </c>
      <c r="K112" s="169"/>
      <c r="L112" s="119" t="s">
        <v>289</v>
      </c>
      <c r="M112" s="120" t="s">
        <v>290</v>
      </c>
      <c r="N112" s="78">
        <v>42000000</v>
      </c>
      <c r="O112" s="79">
        <v>6144000</v>
      </c>
      <c r="P112" s="79"/>
      <c r="Q112" s="301">
        <f t="shared" si="9"/>
        <v>14.62857142857143</v>
      </c>
      <c r="R112" s="345"/>
      <c r="S112" s="329" t="s">
        <v>398</v>
      </c>
    </row>
    <row r="113" spans="1:19" ht="381" customHeight="1" x14ac:dyDescent="0.3">
      <c r="A113" s="121" t="s">
        <v>6</v>
      </c>
      <c r="B113" s="121" t="s">
        <v>121</v>
      </c>
      <c r="C113" s="121" t="s">
        <v>3</v>
      </c>
      <c r="D113" s="121" t="s">
        <v>481</v>
      </c>
      <c r="E113" s="122" t="s">
        <v>286</v>
      </c>
      <c r="F113" s="507" t="s">
        <v>197</v>
      </c>
      <c r="G113" s="207" t="s">
        <v>42</v>
      </c>
      <c r="H113" s="169" t="s">
        <v>346</v>
      </c>
      <c r="I113" s="119" t="s">
        <v>43</v>
      </c>
      <c r="J113" s="169" t="s">
        <v>51</v>
      </c>
      <c r="K113" s="169"/>
      <c r="L113" s="119" t="s">
        <v>289</v>
      </c>
      <c r="M113" s="120" t="s">
        <v>290</v>
      </c>
      <c r="N113" s="78">
        <v>500500000</v>
      </c>
      <c r="O113" s="80">
        <v>53911420</v>
      </c>
      <c r="P113" s="80"/>
      <c r="Q113" s="301">
        <f t="shared" si="9"/>
        <v>10.771512487512487</v>
      </c>
      <c r="R113" s="345"/>
      <c r="S113" s="329" t="s">
        <v>399</v>
      </c>
    </row>
    <row r="114" spans="1:19" ht="226.5" customHeight="1" x14ac:dyDescent="0.3">
      <c r="A114" s="121" t="s">
        <v>6</v>
      </c>
      <c r="B114" s="121" t="s">
        <v>121</v>
      </c>
      <c r="C114" s="121" t="s">
        <v>3</v>
      </c>
      <c r="D114" s="121" t="s">
        <v>481</v>
      </c>
      <c r="E114" s="122" t="s">
        <v>287</v>
      </c>
      <c r="F114" s="507" t="s">
        <v>197</v>
      </c>
      <c r="G114" s="207" t="s">
        <v>42</v>
      </c>
      <c r="H114" s="169" t="s">
        <v>346</v>
      </c>
      <c r="I114" s="119" t="s">
        <v>43</v>
      </c>
      <c r="J114" s="169" t="s">
        <v>51</v>
      </c>
      <c r="K114" s="169"/>
      <c r="L114" s="119" t="s">
        <v>289</v>
      </c>
      <c r="M114" s="120" t="s">
        <v>290</v>
      </c>
      <c r="N114" s="78">
        <v>177500000</v>
      </c>
      <c r="O114" s="80">
        <v>40319500</v>
      </c>
      <c r="P114" s="80"/>
      <c r="Q114" s="301">
        <f t="shared" si="9"/>
        <v>22.715211267605635</v>
      </c>
      <c r="R114" s="345"/>
      <c r="S114" s="329" t="s">
        <v>400</v>
      </c>
    </row>
    <row r="115" spans="1:19" ht="396.75" customHeight="1" x14ac:dyDescent="0.3">
      <c r="A115" s="121" t="s">
        <v>6</v>
      </c>
      <c r="B115" s="121" t="s">
        <v>121</v>
      </c>
      <c r="C115" s="121" t="s">
        <v>3</v>
      </c>
      <c r="D115" s="121" t="s">
        <v>481</v>
      </c>
      <c r="E115" s="122" t="s">
        <v>288</v>
      </c>
      <c r="F115" s="507" t="s">
        <v>197</v>
      </c>
      <c r="G115" s="207" t="s">
        <v>42</v>
      </c>
      <c r="H115" s="169" t="s">
        <v>346</v>
      </c>
      <c r="I115" s="119" t="s">
        <v>43</v>
      </c>
      <c r="J115" s="169" t="s">
        <v>51</v>
      </c>
      <c r="K115" s="169"/>
      <c r="L115" s="119" t="s">
        <v>289</v>
      </c>
      <c r="M115" s="120" t="s">
        <v>290</v>
      </c>
      <c r="N115" s="81">
        <v>272500000</v>
      </c>
      <c r="O115" s="80">
        <v>25264613</v>
      </c>
      <c r="P115" s="80"/>
      <c r="Q115" s="301">
        <f t="shared" si="9"/>
        <v>9.2714176146788994</v>
      </c>
      <c r="R115" s="345"/>
      <c r="S115" s="329" t="s">
        <v>401</v>
      </c>
    </row>
    <row r="116" spans="1:19" ht="408.75" customHeight="1" x14ac:dyDescent="0.3">
      <c r="A116" s="44" t="s">
        <v>6</v>
      </c>
      <c r="B116" s="44" t="s">
        <v>121</v>
      </c>
      <c r="C116" s="44" t="s">
        <v>3</v>
      </c>
      <c r="D116" s="44" t="s">
        <v>481</v>
      </c>
      <c r="E116" s="107" t="s">
        <v>80</v>
      </c>
      <c r="F116" s="504" t="s">
        <v>199</v>
      </c>
      <c r="G116" s="45" t="s">
        <v>282</v>
      </c>
      <c r="H116" s="50" t="s">
        <v>347</v>
      </c>
      <c r="I116" s="45" t="s">
        <v>17</v>
      </c>
      <c r="J116" s="50" t="s">
        <v>47</v>
      </c>
      <c r="K116" s="50"/>
      <c r="L116" s="45" t="s">
        <v>281</v>
      </c>
      <c r="M116" s="45" t="s">
        <v>280</v>
      </c>
      <c r="N116" s="48">
        <v>3400000000</v>
      </c>
      <c r="O116" s="48">
        <v>444946591.07999998</v>
      </c>
      <c r="P116" s="48"/>
      <c r="Q116" s="302">
        <f t="shared" si="9"/>
        <v>13.086664443529411</v>
      </c>
      <c r="R116" s="345"/>
      <c r="S116" s="50" t="s">
        <v>402</v>
      </c>
    </row>
    <row r="117" spans="1:19" ht="409.5" x14ac:dyDescent="0.3">
      <c r="A117" s="295" t="s">
        <v>6</v>
      </c>
      <c r="B117" s="44" t="s">
        <v>121</v>
      </c>
      <c r="C117" s="295" t="s">
        <v>3</v>
      </c>
      <c r="D117" s="44" t="s">
        <v>481</v>
      </c>
      <c r="E117" s="107" t="s">
        <v>167</v>
      </c>
      <c r="F117" s="504" t="s">
        <v>199</v>
      </c>
      <c r="G117" s="45" t="s">
        <v>165</v>
      </c>
      <c r="H117" s="50" t="s">
        <v>347</v>
      </c>
      <c r="I117" s="45" t="s">
        <v>20</v>
      </c>
      <c r="J117" s="50" t="s">
        <v>49</v>
      </c>
      <c r="K117" s="50"/>
      <c r="L117" s="296"/>
      <c r="M117" s="296"/>
      <c r="N117" s="297">
        <v>2703790000</v>
      </c>
      <c r="O117" s="297">
        <f>277292706</f>
        <v>277292706</v>
      </c>
      <c r="P117" s="48" t="s">
        <v>351</v>
      </c>
      <c r="Q117" s="302">
        <f>(O117/N117)*100</f>
        <v>10.255704252179349</v>
      </c>
      <c r="R117" s="345"/>
      <c r="S117" s="50" t="s">
        <v>403</v>
      </c>
    </row>
    <row r="118" spans="1:19" ht="267" customHeight="1" x14ac:dyDescent="0.3">
      <c r="A118" s="178" t="s">
        <v>6</v>
      </c>
      <c r="B118" s="178" t="s">
        <v>121</v>
      </c>
      <c r="C118" s="178" t="s">
        <v>3</v>
      </c>
      <c r="D118" s="178" t="s">
        <v>481</v>
      </c>
      <c r="E118" s="219" t="s">
        <v>191</v>
      </c>
      <c r="F118" s="499" t="s">
        <v>203</v>
      </c>
      <c r="G118" s="220" t="s">
        <v>183</v>
      </c>
      <c r="H118" s="222" t="s">
        <v>348</v>
      </c>
      <c r="I118" s="221" t="s">
        <v>15</v>
      </c>
      <c r="J118" s="222"/>
      <c r="K118" s="222"/>
      <c r="L118" s="221"/>
      <c r="M118" s="221"/>
      <c r="N118" s="223"/>
      <c r="O118" s="223">
        <v>10500000</v>
      </c>
      <c r="P118" s="223"/>
      <c r="Q118" s="303"/>
      <c r="R118" s="345"/>
      <c r="S118" s="222" t="s">
        <v>402</v>
      </c>
    </row>
    <row r="119" spans="1:19" ht="409.5" customHeight="1" x14ac:dyDescent="0.3">
      <c r="A119" s="37" t="s">
        <v>6</v>
      </c>
      <c r="B119" s="37" t="s">
        <v>121</v>
      </c>
      <c r="C119" s="37" t="s">
        <v>3</v>
      </c>
      <c r="D119" s="37" t="s">
        <v>481</v>
      </c>
      <c r="E119" s="113" t="s">
        <v>12</v>
      </c>
      <c r="F119" s="106" t="s">
        <v>195</v>
      </c>
      <c r="G119" s="168" t="s">
        <v>291</v>
      </c>
      <c r="H119" s="76" t="s">
        <v>347</v>
      </c>
      <c r="I119" s="38" t="s">
        <v>18</v>
      </c>
      <c r="J119" s="76" t="s">
        <v>204</v>
      </c>
      <c r="K119" s="40" t="s">
        <v>584</v>
      </c>
      <c r="L119" s="452" t="s">
        <v>642</v>
      </c>
      <c r="M119" s="452" t="s">
        <v>643</v>
      </c>
      <c r="N119" s="523">
        <v>2820007519.8499999</v>
      </c>
      <c r="O119" s="42">
        <v>325887644.16000003</v>
      </c>
      <c r="P119" s="42"/>
      <c r="Q119" s="304">
        <f t="shared" si="9"/>
        <v>11.556268622196244</v>
      </c>
      <c r="R119" s="343" t="s">
        <v>585</v>
      </c>
      <c r="S119" s="332" t="s">
        <v>404</v>
      </c>
    </row>
    <row r="120" spans="1:19" ht="213.75" customHeight="1" x14ac:dyDescent="0.3">
      <c r="A120" s="37" t="s">
        <v>6</v>
      </c>
      <c r="B120" s="37" t="s">
        <v>121</v>
      </c>
      <c r="C120" s="37" t="s">
        <v>3</v>
      </c>
      <c r="D120" s="37" t="s">
        <v>481</v>
      </c>
      <c r="E120" s="113" t="s">
        <v>12</v>
      </c>
      <c r="F120" s="106" t="s">
        <v>195</v>
      </c>
      <c r="G120" s="170" t="s">
        <v>292</v>
      </c>
      <c r="H120" s="40" t="s">
        <v>347</v>
      </c>
      <c r="I120" s="38" t="s">
        <v>18</v>
      </c>
      <c r="J120" s="41" t="s">
        <v>69</v>
      </c>
      <c r="K120" s="40" t="s">
        <v>584</v>
      </c>
      <c r="L120" s="453" t="s">
        <v>635</v>
      </c>
      <c r="M120" s="453" t="s">
        <v>635</v>
      </c>
      <c r="N120" s="524"/>
      <c r="O120" s="42">
        <v>66831675.799999997</v>
      </c>
      <c r="P120" s="42"/>
      <c r="Q120" s="304"/>
      <c r="R120" s="345"/>
      <c r="S120" s="332" t="s">
        <v>404</v>
      </c>
    </row>
    <row r="121" spans="1:19" ht="114.75" customHeight="1" x14ac:dyDescent="0.3">
      <c r="A121" s="86" t="s">
        <v>6</v>
      </c>
      <c r="B121" s="86" t="s">
        <v>121</v>
      </c>
      <c r="C121" s="86" t="s">
        <v>3</v>
      </c>
      <c r="D121" s="86" t="s">
        <v>481</v>
      </c>
      <c r="E121" s="108" t="s">
        <v>520</v>
      </c>
      <c r="F121" s="334" t="s">
        <v>197</v>
      </c>
      <c r="G121" s="383" t="s">
        <v>522</v>
      </c>
      <c r="H121" s="54" t="s">
        <v>521</v>
      </c>
      <c r="I121" s="52"/>
      <c r="J121" s="378"/>
      <c r="K121" s="378"/>
      <c r="L121" s="379"/>
      <c r="M121" s="379"/>
      <c r="N121" s="380">
        <v>700000000</v>
      </c>
      <c r="O121" s="88">
        <v>61845394.969999999</v>
      </c>
      <c r="P121" s="384" t="s">
        <v>669</v>
      </c>
      <c r="Q121" s="381">
        <f>(O121/N121)*100</f>
        <v>8.8350564242857139</v>
      </c>
      <c r="R121" s="345"/>
      <c r="S121" s="382"/>
    </row>
    <row r="122" spans="1:19" ht="116.25" customHeight="1" x14ac:dyDescent="0.3">
      <c r="A122" s="82" t="s">
        <v>6</v>
      </c>
      <c r="B122" s="82" t="s">
        <v>121</v>
      </c>
      <c r="C122" s="82" t="s">
        <v>4</v>
      </c>
      <c r="D122" s="82" t="s">
        <v>123</v>
      </c>
      <c r="E122" s="115"/>
      <c r="F122" s="508" t="s">
        <v>200</v>
      </c>
      <c r="G122" s="283" t="s">
        <v>310</v>
      </c>
      <c r="H122" s="314" t="s">
        <v>349</v>
      </c>
      <c r="I122" s="83" t="s">
        <v>15</v>
      </c>
      <c r="J122" s="84" t="s">
        <v>277</v>
      </c>
      <c r="K122" s="84"/>
      <c r="L122" s="83"/>
      <c r="M122" s="83"/>
      <c r="N122" s="85">
        <v>300000000</v>
      </c>
      <c r="O122" s="85">
        <v>13640000</v>
      </c>
      <c r="P122" s="85"/>
      <c r="Q122" s="305">
        <f>(O122/N122)*100</f>
        <v>4.5466666666666669</v>
      </c>
      <c r="R122" s="345"/>
      <c r="S122" s="314" t="s">
        <v>405</v>
      </c>
    </row>
    <row r="123" spans="1:19" ht="116.25" customHeight="1" x14ac:dyDescent="0.3">
      <c r="A123" s="82" t="s">
        <v>6</v>
      </c>
      <c r="B123" s="82" t="s">
        <v>121</v>
      </c>
      <c r="C123" s="82" t="s">
        <v>4</v>
      </c>
      <c r="D123" s="82" t="s">
        <v>123</v>
      </c>
      <c r="E123" s="115" t="s">
        <v>683</v>
      </c>
      <c r="F123" s="508" t="s">
        <v>197</v>
      </c>
      <c r="G123" s="283"/>
      <c r="H123" s="314"/>
      <c r="I123" s="83"/>
      <c r="J123" s="84"/>
      <c r="K123" s="84"/>
      <c r="L123" s="83"/>
      <c r="M123" s="83"/>
      <c r="N123" s="478"/>
      <c r="O123" s="85">
        <v>13229527.529999999</v>
      </c>
      <c r="P123" s="85"/>
      <c r="Q123" s="305"/>
      <c r="R123" s="345"/>
      <c r="S123" s="314"/>
    </row>
    <row r="124" spans="1:19" ht="116.25" customHeight="1" x14ac:dyDescent="0.3">
      <c r="A124" s="82" t="s">
        <v>6</v>
      </c>
      <c r="B124" s="82" t="s">
        <v>121</v>
      </c>
      <c r="C124" s="82" t="s">
        <v>4</v>
      </c>
      <c r="D124" s="82" t="s">
        <v>123</v>
      </c>
      <c r="E124" s="115" t="s">
        <v>684</v>
      </c>
      <c r="F124" s="508" t="s">
        <v>197</v>
      </c>
      <c r="G124" s="283"/>
      <c r="H124" s="314"/>
      <c r="I124" s="83"/>
      <c r="J124" s="84"/>
      <c r="K124" s="84"/>
      <c r="L124" s="83"/>
      <c r="M124" s="83"/>
      <c r="N124" s="478"/>
      <c r="O124" s="85">
        <v>1525486</v>
      </c>
      <c r="P124" s="85"/>
      <c r="Q124" s="305"/>
      <c r="R124" s="345"/>
      <c r="S124" s="314"/>
    </row>
    <row r="125" spans="1:19" ht="363" customHeight="1" x14ac:dyDescent="0.3">
      <c r="A125" s="86" t="s">
        <v>7</v>
      </c>
      <c r="B125" s="86" t="s">
        <v>124</v>
      </c>
      <c r="C125" s="86" t="s">
        <v>8</v>
      </c>
      <c r="D125" s="86" t="s">
        <v>413</v>
      </c>
      <c r="E125" s="334" t="s">
        <v>416</v>
      </c>
      <c r="F125" s="334" t="s">
        <v>201</v>
      </c>
      <c r="G125" s="87" t="s">
        <v>101</v>
      </c>
      <c r="H125" s="238" t="s">
        <v>350</v>
      </c>
      <c r="I125" s="53" t="s">
        <v>547</v>
      </c>
      <c r="J125" s="89" t="s">
        <v>69</v>
      </c>
      <c r="K125" s="89" t="s">
        <v>485</v>
      </c>
      <c r="L125" s="370" t="s">
        <v>649</v>
      </c>
      <c r="M125" s="454"/>
      <c r="N125" s="405">
        <v>2000000000</v>
      </c>
      <c r="O125" s="406">
        <v>277203041.63999999</v>
      </c>
      <c r="P125" s="88" t="s">
        <v>336</v>
      </c>
      <c r="Q125" s="305">
        <f>(O125/N125)*100</f>
        <v>13.860152081999999</v>
      </c>
      <c r="R125" s="345"/>
      <c r="S125" s="86" t="s">
        <v>406</v>
      </c>
    </row>
    <row r="126" spans="1:19" ht="257.25" customHeight="1" x14ac:dyDescent="0.3">
      <c r="A126" s="86" t="s">
        <v>7</v>
      </c>
      <c r="B126" s="86" t="s">
        <v>124</v>
      </c>
      <c r="C126" s="86" t="s">
        <v>8</v>
      </c>
      <c r="D126" s="86" t="s">
        <v>413</v>
      </c>
      <c r="E126" s="334" t="s">
        <v>417</v>
      </c>
      <c r="F126" s="334" t="s">
        <v>201</v>
      </c>
      <c r="G126" s="87" t="s">
        <v>101</v>
      </c>
      <c r="H126" s="238" t="s">
        <v>350</v>
      </c>
      <c r="I126" s="53" t="s">
        <v>547</v>
      </c>
      <c r="J126" s="89" t="s">
        <v>69</v>
      </c>
      <c r="K126" s="89" t="s">
        <v>485</v>
      </c>
      <c r="L126" s="370" t="s">
        <v>650</v>
      </c>
      <c r="M126" s="454"/>
      <c r="N126" s="392">
        <v>103845000</v>
      </c>
      <c r="O126" s="88">
        <v>17480575</v>
      </c>
      <c r="P126" s="88" t="s">
        <v>336</v>
      </c>
      <c r="Q126" s="305">
        <f t="shared" ref="Q126:Q129" si="10">(O126/N126)*100</f>
        <v>16.833333333333332</v>
      </c>
      <c r="R126" s="345"/>
      <c r="S126" s="86" t="s">
        <v>406</v>
      </c>
    </row>
    <row r="127" spans="1:19" ht="273.75" customHeight="1" x14ac:dyDescent="0.3">
      <c r="A127" s="86" t="s">
        <v>7</v>
      </c>
      <c r="B127" s="86" t="s">
        <v>124</v>
      </c>
      <c r="C127" s="86" t="s">
        <v>8</v>
      </c>
      <c r="D127" s="86" t="s">
        <v>413</v>
      </c>
      <c r="E127" s="334" t="s">
        <v>414</v>
      </c>
      <c r="F127" s="334" t="s">
        <v>201</v>
      </c>
      <c r="G127" s="87" t="s">
        <v>101</v>
      </c>
      <c r="H127" s="54" t="s">
        <v>350</v>
      </c>
      <c r="I127" s="52" t="s">
        <v>19</v>
      </c>
      <c r="J127" s="378" t="s">
        <v>69</v>
      </c>
      <c r="K127" s="378" t="s">
        <v>485</v>
      </c>
      <c r="L127" s="428" t="s">
        <v>615</v>
      </c>
      <c r="M127" s="455" t="s">
        <v>556</v>
      </c>
      <c r="N127" s="67"/>
      <c r="O127" s="67">
        <v>7178217.29</v>
      </c>
      <c r="P127" s="67"/>
      <c r="Q127" s="429" t="e">
        <f t="shared" si="10"/>
        <v>#DIV/0!</v>
      </c>
      <c r="R127" s="430"/>
      <c r="S127" s="428"/>
    </row>
    <row r="128" spans="1:19" ht="279" customHeight="1" x14ac:dyDescent="0.3">
      <c r="A128" s="86" t="s">
        <v>7</v>
      </c>
      <c r="B128" s="86" t="s">
        <v>124</v>
      </c>
      <c r="C128" s="86" t="s">
        <v>8</v>
      </c>
      <c r="D128" s="86" t="s">
        <v>413</v>
      </c>
      <c r="E128" s="409" t="s">
        <v>571</v>
      </c>
      <c r="F128" s="334" t="s">
        <v>201</v>
      </c>
      <c r="G128" s="87" t="s">
        <v>101</v>
      </c>
      <c r="H128" s="54" t="s">
        <v>350</v>
      </c>
      <c r="I128" s="52" t="s">
        <v>19</v>
      </c>
      <c r="J128" s="378" t="s">
        <v>69</v>
      </c>
      <c r="K128" s="378" t="s">
        <v>485</v>
      </c>
      <c r="L128" s="428" t="s">
        <v>616</v>
      </c>
      <c r="M128" s="455" t="s">
        <v>556</v>
      </c>
      <c r="N128" s="67"/>
      <c r="O128" s="67">
        <v>9768335.0199999996</v>
      </c>
      <c r="P128" s="67"/>
      <c r="Q128" s="429" t="e">
        <f t="shared" si="10"/>
        <v>#DIV/0!</v>
      </c>
      <c r="R128" s="430"/>
      <c r="S128" s="428"/>
    </row>
    <row r="129" spans="1:19" ht="369.75" customHeight="1" x14ac:dyDescent="0.3">
      <c r="A129" s="86" t="s">
        <v>7</v>
      </c>
      <c r="B129" s="86" t="s">
        <v>124</v>
      </c>
      <c r="C129" s="86" t="s">
        <v>8</v>
      </c>
      <c r="D129" s="86" t="s">
        <v>413</v>
      </c>
      <c r="E129" s="334" t="s">
        <v>415</v>
      </c>
      <c r="F129" s="334" t="s">
        <v>201</v>
      </c>
      <c r="G129" s="87" t="s">
        <v>101</v>
      </c>
      <c r="H129" s="238" t="s">
        <v>350</v>
      </c>
      <c r="I129" s="53" t="s">
        <v>547</v>
      </c>
      <c r="J129" s="89" t="s">
        <v>69</v>
      </c>
      <c r="K129" s="89" t="s">
        <v>485</v>
      </c>
      <c r="L129" s="370" t="s">
        <v>651</v>
      </c>
      <c r="M129" s="454"/>
      <c r="N129" s="415">
        <v>1000000000</v>
      </c>
      <c r="O129" s="88">
        <v>151201659.08000001</v>
      </c>
      <c r="P129" s="88"/>
      <c r="Q129" s="305">
        <f t="shared" si="10"/>
        <v>15.120165908000002</v>
      </c>
      <c r="R129" s="345"/>
      <c r="S129" s="86"/>
    </row>
    <row r="130" spans="1:19" ht="282.75" customHeight="1" x14ac:dyDescent="0.3">
      <c r="A130" s="86" t="s">
        <v>7</v>
      </c>
      <c r="B130" s="86" t="s">
        <v>124</v>
      </c>
      <c r="C130" s="86" t="s">
        <v>3</v>
      </c>
      <c r="D130" s="86" t="s">
        <v>411</v>
      </c>
      <c r="E130" s="334" t="s">
        <v>572</v>
      </c>
      <c r="F130" s="334" t="s">
        <v>201</v>
      </c>
      <c r="G130" s="87" t="s">
        <v>102</v>
      </c>
      <c r="H130" s="238" t="s">
        <v>350</v>
      </c>
      <c r="I130" s="53" t="s">
        <v>547</v>
      </c>
      <c r="J130" s="89" t="s">
        <v>69</v>
      </c>
      <c r="K130" s="89" t="s">
        <v>485</v>
      </c>
      <c r="L130" s="370" t="s">
        <v>550</v>
      </c>
      <c r="M130" s="88"/>
      <c r="N130" s="415">
        <v>1189155000</v>
      </c>
      <c r="O130" s="88">
        <v>179802208.90000001</v>
      </c>
      <c r="P130" s="88"/>
      <c r="Q130" s="305">
        <f>(O130/N130)*100</f>
        <v>15.120165907724392</v>
      </c>
      <c r="R130" s="345"/>
      <c r="S130" s="86"/>
    </row>
    <row r="131" spans="1:19" ht="355.5" customHeight="1" x14ac:dyDescent="0.3">
      <c r="A131" s="86" t="s">
        <v>7</v>
      </c>
      <c r="B131" s="86" t="s">
        <v>124</v>
      </c>
      <c r="C131" s="86" t="s">
        <v>3</v>
      </c>
      <c r="D131" s="86" t="s">
        <v>411</v>
      </c>
      <c r="E131" s="409" t="s">
        <v>573</v>
      </c>
      <c r="F131" s="334" t="s">
        <v>201</v>
      </c>
      <c r="G131" s="87"/>
      <c r="H131" s="54" t="s">
        <v>350</v>
      </c>
      <c r="I131" s="52"/>
      <c r="J131" s="378" t="s">
        <v>69</v>
      </c>
      <c r="K131" s="378" t="s">
        <v>485</v>
      </c>
      <c r="L131" s="87" t="s">
        <v>644</v>
      </c>
      <c r="M131" s="87" t="s">
        <v>556</v>
      </c>
      <c r="N131" s="67"/>
      <c r="O131" s="431">
        <v>219259037.84</v>
      </c>
      <c r="P131" s="431"/>
      <c r="Q131" s="429"/>
      <c r="R131" s="432"/>
      <c r="S131" s="433" t="s">
        <v>557</v>
      </c>
    </row>
    <row r="132" spans="1:19" ht="216" customHeight="1" x14ac:dyDescent="0.3">
      <c r="A132" s="86" t="s">
        <v>7</v>
      </c>
      <c r="B132" s="86" t="s">
        <v>124</v>
      </c>
      <c r="C132" s="86" t="s">
        <v>3</v>
      </c>
      <c r="D132" s="86" t="s">
        <v>411</v>
      </c>
      <c r="E132" s="334" t="s">
        <v>412</v>
      </c>
      <c r="F132" s="334" t="s">
        <v>201</v>
      </c>
      <c r="G132" s="395" t="s">
        <v>546</v>
      </c>
      <c r="H132" s="54" t="s">
        <v>350</v>
      </c>
      <c r="I132" s="53" t="s">
        <v>547</v>
      </c>
      <c r="J132" s="378" t="s">
        <v>69</v>
      </c>
      <c r="K132" s="378" t="s">
        <v>485</v>
      </c>
      <c r="L132" s="370" t="s">
        <v>551</v>
      </c>
      <c r="M132" s="87"/>
      <c r="N132" s="396">
        <v>1450000000</v>
      </c>
      <c r="O132" s="397">
        <v>219242405.66</v>
      </c>
      <c r="P132" s="397" t="s">
        <v>548</v>
      </c>
      <c r="Q132" s="305">
        <f t="shared" ref="Q132:Q138" si="11">(O132/N132)*100</f>
        <v>15.120165907586205</v>
      </c>
      <c r="R132" s="345"/>
      <c r="S132" s="54" t="s">
        <v>549</v>
      </c>
    </row>
    <row r="133" spans="1:19" ht="234.75" customHeight="1" x14ac:dyDescent="0.3">
      <c r="A133" s="86" t="s">
        <v>7</v>
      </c>
      <c r="B133" s="86" t="s">
        <v>124</v>
      </c>
      <c r="C133" s="86" t="s">
        <v>3</v>
      </c>
      <c r="D133" s="86" t="s">
        <v>411</v>
      </c>
      <c r="E133" s="334" t="s">
        <v>410</v>
      </c>
      <c r="F133" s="334" t="s">
        <v>201</v>
      </c>
      <c r="G133" s="417" t="s">
        <v>580</v>
      </c>
      <c r="H133" s="54" t="s">
        <v>350</v>
      </c>
      <c r="I133" s="53" t="s">
        <v>547</v>
      </c>
      <c r="J133" s="378" t="s">
        <v>69</v>
      </c>
      <c r="K133" s="378" t="s">
        <v>485</v>
      </c>
      <c r="L133" s="370" t="s">
        <v>551</v>
      </c>
      <c r="M133" s="87"/>
      <c r="N133" s="396">
        <v>638851083.58000004</v>
      </c>
      <c r="O133" s="397">
        <v>96595343.739999995</v>
      </c>
      <c r="P133" s="397"/>
      <c r="Q133" s="305">
        <f t="shared" si="11"/>
        <v>15.120165907631877</v>
      </c>
      <c r="R133" s="345"/>
      <c r="S133" s="54" t="s">
        <v>549</v>
      </c>
    </row>
    <row r="134" spans="1:19" ht="234.75" customHeight="1" x14ac:dyDescent="0.3">
      <c r="A134" s="86" t="s">
        <v>7</v>
      </c>
      <c r="B134" s="86" t="s">
        <v>124</v>
      </c>
      <c r="C134" s="86" t="s">
        <v>3</v>
      </c>
      <c r="D134" s="86" t="s">
        <v>411</v>
      </c>
      <c r="E134" s="334" t="s">
        <v>576</v>
      </c>
      <c r="F134" s="334" t="s">
        <v>201</v>
      </c>
      <c r="G134" s="418" t="s">
        <v>579</v>
      </c>
      <c r="H134" s="54" t="s">
        <v>350</v>
      </c>
      <c r="I134" s="54" t="s">
        <v>575</v>
      </c>
      <c r="J134" s="378" t="s">
        <v>69</v>
      </c>
      <c r="K134" s="378" t="s">
        <v>485</v>
      </c>
      <c r="L134" s="419" t="s">
        <v>581</v>
      </c>
      <c r="M134" s="87"/>
      <c r="N134" s="396">
        <v>610389999.92999995</v>
      </c>
      <c r="O134" s="397">
        <v>87225814.359999999</v>
      </c>
      <c r="P134" s="397"/>
      <c r="Q134" s="305">
        <f t="shared" si="11"/>
        <v>14.290177488163819</v>
      </c>
      <c r="R134" s="345"/>
      <c r="S134" s="398"/>
    </row>
    <row r="135" spans="1:19" ht="194.25" customHeight="1" x14ac:dyDescent="0.3">
      <c r="A135" s="86" t="s">
        <v>7</v>
      </c>
      <c r="B135" s="86" t="s">
        <v>124</v>
      </c>
      <c r="C135" s="86" t="s">
        <v>3</v>
      </c>
      <c r="D135" s="86" t="s">
        <v>125</v>
      </c>
      <c r="E135" s="334" t="s">
        <v>574</v>
      </c>
      <c r="F135" s="334" t="s">
        <v>201</v>
      </c>
      <c r="G135" s="87"/>
      <c r="H135" s="238" t="s">
        <v>350</v>
      </c>
      <c r="I135" s="399"/>
      <c r="J135" s="89" t="s">
        <v>69</v>
      </c>
      <c r="K135" s="89" t="s">
        <v>485</v>
      </c>
      <c r="L135" s="370" t="s">
        <v>680</v>
      </c>
      <c r="M135" s="87"/>
      <c r="N135" s="396">
        <v>30300000</v>
      </c>
      <c r="O135" s="91">
        <v>4581410.2699999996</v>
      </c>
      <c r="P135" s="91"/>
      <c r="Q135" s="305">
        <f t="shared" si="11"/>
        <v>15.120165907590758</v>
      </c>
      <c r="R135" s="345"/>
      <c r="S135" s="86"/>
    </row>
    <row r="136" spans="1:19" ht="194.25" customHeight="1" x14ac:dyDescent="0.3">
      <c r="A136" s="86" t="s">
        <v>7</v>
      </c>
      <c r="B136" s="86" t="s">
        <v>124</v>
      </c>
      <c r="C136" s="86" t="s">
        <v>3</v>
      </c>
      <c r="D136" s="86" t="s">
        <v>125</v>
      </c>
      <c r="E136" s="334" t="s">
        <v>678</v>
      </c>
      <c r="F136" s="334" t="s">
        <v>201</v>
      </c>
      <c r="G136" s="87"/>
      <c r="H136" s="238" t="s">
        <v>679</v>
      </c>
      <c r="I136" s="399"/>
      <c r="J136" s="89" t="s">
        <v>69</v>
      </c>
      <c r="K136" s="89"/>
      <c r="L136" s="370"/>
      <c r="M136" s="87"/>
      <c r="N136" s="396">
        <v>520000000</v>
      </c>
      <c r="O136" s="91">
        <v>10280421</v>
      </c>
      <c r="P136" s="91"/>
      <c r="Q136" s="305">
        <f t="shared" si="11"/>
        <v>1.9770040384615384</v>
      </c>
      <c r="R136" s="345" t="s">
        <v>686</v>
      </c>
      <c r="S136" s="86"/>
    </row>
    <row r="137" spans="1:19" ht="194.25" customHeight="1" x14ac:dyDescent="0.3">
      <c r="A137" s="86" t="s">
        <v>7</v>
      </c>
      <c r="B137" s="86" t="s">
        <v>124</v>
      </c>
      <c r="C137" s="86" t="s">
        <v>3</v>
      </c>
      <c r="D137" s="86" t="s">
        <v>125</v>
      </c>
      <c r="E137" s="334" t="s">
        <v>678</v>
      </c>
      <c r="F137" s="334" t="s">
        <v>201</v>
      </c>
      <c r="G137" s="87"/>
      <c r="H137" s="238" t="s">
        <v>679</v>
      </c>
      <c r="I137" s="399"/>
      <c r="J137" s="89" t="s">
        <v>685</v>
      </c>
      <c r="K137" s="89"/>
      <c r="L137" s="370"/>
      <c r="M137" s="87"/>
      <c r="N137" s="396"/>
      <c r="O137" s="91">
        <v>66951319</v>
      </c>
      <c r="P137" s="91"/>
      <c r="Q137" s="305"/>
      <c r="R137" s="345" t="s">
        <v>687</v>
      </c>
      <c r="S137" s="86"/>
    </row>
    <row r="138" spans="1:19" ht="231" customHeight="1" x14ac:dyDescent="0.3">
      <c r="A138" s="86" t="s">
        <v>7</v>
      </c>
      <c r="B138" s="86" t="s">
        <v>124</v>
      </c>
      <c r="C138" s="86" t="s">
        <v>3</v>
      </c>
      <c r="D138" s="86" t="s">
        <v>125</v>
      </c>
      <c r="E138" s="334" t="s">
        <v>408</v>
      </c>
      <c r="F138" s="334" t="s">
        <v>201</v>
      </c>
      <c r="G138" s="87"/>
      <c r="H138" s="238" t="s">
        <v>350</v>
      </c>
      <c r="I138" s="399"/>
      <c r="J138" s="89" t="s">
        <v>69</v>
      </c>
      <c r="K138" s="89" t="s">
        <v>485</v>
      </c>
      <c r="L138" s="370" t="s">
        <v>444</v>
      </c>
      <c r="M138" s="87"/>
      <c r="N138" s="396">
        <v>80026994</v>
      </c>
      <c r="O138" s="91">
        <v>10450210.699999999</v>
      </c>
      <c r="P138" s="91"/>
      <c r="Q138" s="305">
        <f t="shared" si="11"/>
        <v>13.05835715883568</v>
      </c>
      <c r="R138" s="345"/>
      <c r="S138" s="86"/>
    </row>
    <row r="139" spans="1:19" ht="93" x14ac:dyDescent="0.3">
      <c r="A139" s="86" t="s">
        <v>7</v>
      </c>
      <c r="B139" s="86" t="s">
        <v>124</v>
      </c>
      <c r="C139" s="86" t="s">
        <v>3</v>
      </c>
      <c r="D139" s="86" t="s">
        <v>125</v>
      </c>
      <c r="E139" s="334" t="s">
        <v>409</v>
      </c>
      <c r="F139" s="334" t="s">
        <v>201</v>
      </c>
      <c r="G139" s="87"/>
      <c r="H139" s="238" t="s">
        <v>350</v>
      </c>
      <c r="I139" s="399"/>
      <c r="J139" s="89" t="s">
        <v>69</v>
      </c>
      <c r="K139" s="89" t="s">
        <v>485</v>
      </c>
      <c r="L139" s="370" t="s">
        <v>444</v>
      </c>
      <c r="M139" s="87"/>
      <c r="N139" s="88"/>
      <c r="O139" s="91">
        <v>5136418.08</v>
      </c>
      <c r="P139" s="91" t="s">
        <v>407</v>
      </c>
      <c r="Q139" s="305"/>
      <c r="R139" s="345"/>
      <c r="S139" s="86"/>
    </row>
    <row r="140" spans="1:19" ht="105" customHeight="1" x14ac:dyDescent="0.3">
      <c r="A140" s="86" t="s">
        <v>7</v>
      </c>
      <c r="B140" s="86" t="s">
        <v>124</v>
      </c>
      <c r="C140" s="86" t="s">
        <v>3</v>
      </c>
      <c r="D140" s="86" t="s">
        <v>125</v>
      </c>
      <c r="E140" s="203" t="s">
        <v>161</v>
      </c>
      <c r="F140" s="334" t="s">
        <v>201</v>
      </c>
      <c r="G140" s="204" t="s">
        <v>92</v>
      </c>
      <c r="H140" s="238" t="s">
        <v>350</v>
      </c>
      <c r="I140" s="52" t="s">
        <v>93</v>
      </c>
      <c r="J140" s="89" t="s">
        <v>95</v>
      </c>
      <c r="K140" s="89"/>
      <c r="L140" s="90"/>
      <c r="M140" s="90"/>
      <c r="N140" s="55">
        <v>437400000</v>
      </c>
      <c r="O140" s="91"/>
      <c r="P140" s="91"/>
      <c r="Q140" s="305"/>
      <c r="R140" s="345"/>
      <c r="S140" s="330"/>
    </row>
    <row r="141" spans="1:19" x14ac:dyDescent="0.3">
      <c r="M141" s="279"/>
      <c r="S141" s="331"/>
    </row>
    <row r="153" spans="12:16" x14ac:dyDescent="0.3">
      <c r="O153" s="280"/>
      <c r="P153" s="280"/>
    </row>
    <row r="157" spans="12:16" x14ac:dyDescent="0.3">
      <c r="L157" s="274"/>
    </row>
    <row r="158" spans="12:16" x14ac:dyDescent="0.3">
      <c r="L158" s="223"/>
    </row>
    <row r="159" spans="12:16" x14ac:dyDescent="0.3">
      <c r="L159" s="223"/>
    </row>
    <row r="160" spans="12:16" x14ac:dyDescent="0.3">
      <c r="L160" s="223"/>
    </row>
    <row r="161" spans="12:12" x14ac:dyDescent="0.3">
      <c r="L161" s="223"/>
    </row>
    <row r="162" spans="12:12" x14ac:dyDescent="0.3">
      <c r="L162" s="223"/>
    </row>
    <row r="163" spans="12:12" x14ac:dyDescent="0.3">
      <c r="L163" s="223"/>
    </row>
    <row r="164" spans="12:12" x14ac:dyDescent="0.3">
      <c r="L164" s="223"/>
    </row>
    <row r="165" spans="12:12" x14ac:dyDescent="0.3">
      <c r="L165" s="223"/>
    </row>
    <row r="166" spans="12:12" x14ac:dyDescent="0.3">
      <c r="L166" s="223"/>
    </row>
    <row r="167" spans="12:12" x14ac:dyDescent="0.3">
      <c r="L167" s="223"/>
    </row>
    <row r="168" spans="12:12" x14ac:dyDescent="0.3">
      <c r="L168" s="223"/>
    </row>
    <row r="169" spans="12:12" x14ac:dyDescent="0.3">
      <c r="L169" s="223"/>
    </row>
    <row r="170" spans="12:12" x14ac:dyDescent="0.3">
      <c r="L170" s="223"/>
    </row>
    <row r="171" spans="12:12" x14ac:dyDescent="0.3">
      <c r="L171" s="318"/>
    </row>
    <row r="172" spans="12:12" x14ac:dyDescent="0.3">
      <c r="L172" s="223"/>
    </row>
    <row r="173" spans="12:12" x14ac:dyDescent="0.3">
      <c r="L173" s="223"/>
    </row>
    <row r="174" spans="12:12" x14ac:dyDescent="0.3">
      <c r="L174" s="319"/>
    </row>
    <row r="175" spans="12:12" x14ac:dyDescent="0.3">
      <c r="L175" s="223"/>
    </row>
    <row r="176" spans="12:12" x14ac:dyDescent="0.3">
      <c r="L176" s="223"/>
    </row>
    <row r="177" spans="12:17" x14ac:dyDescent="0.3">
      <c r="L177" s="318"/>
      <c r="Q177" s="280"/>
    </row>
    <row r="178" spans="12:17" x14ac:dyDescent="0.3">
      <c r="L178" s="223"/>
    </row>
    <row r="179" spans="12:17" x14ac:dyDescent="0.3">
      <c r="L179" s="223"/>
    </row>
    <row r="180" spans="12:17" x14ac:dyDescent="0.3">
      <c r="L180" s="223"/>
    </row>
    <row r="181" spans="12:17" x14ac:dyDescent="0.3">
      <c r="L181" s="320"/>
    </row>
    <row r="182" spans="12:17" x14ac:dyDescent="0.3">
      <c r="L182" s="321"/>
    </row>
    <row r="183" spans="12:17" x14ac:dyDescent="0.3">
      <c r="L183" s="319"/>
    </row>
    <row r="184" spans="12:17" x14ac:dyDescent="0.3">
      <c r="L184" s="223"/>
    </row>
    <row r="185" spans="12:17" x14ac:dyDescent="0.3">
      <c r="L185" s="223"/>
    </row>
    <row r="186" spans="12:17" x14ac:dyDescent="0.3">
      <c r="L186" s="223"/>
    </row>
    <row r="187" spans="12:17" x14ac:dyDescent="0.3">
      <c r="L187" s="223"/>
    </row>
    <row r="188" spans="12:17" x14ac:dyDescent="0.3">
      <c r="L188" s="322"/>
    </row>
    <row r="193" spans="12:12" x14ac:dyDescent="0.3">
      <c r="L193" s="306"/>
    </row>
  </sheetData>
  <sheetProtection algorithmName="SHA-512" hashValue="yWOlDm+eF4Pbc9wVTYgI6VDM4trcMn4PCXmukwawm+MvzMqEzNgheJTe/IDn9QJaHtEUwvH0Urs0OmDLfMZO/A==" saltValue="C3djvbRp6UODXr0hlR7kkw==" spinCount="100000" sheet="1" objects="1" scenarios="1"/>
  <autoFilter ref="A1:S140" xr:uid="{51BA2285-CD4B-48FC-9261-8F72F4506384}"/>
  <mergeCells count="5">
    <mergeCell ref="N43:N46"/>
    <mergeCell ref="Q43:Q46"/>
    <mergeCell ref="N69:N71"/>
    <mergeCell ref="N119:N120"/>
    <mergeCell ref="N74:N84"/>
  </mergeCells>
  <phoneticPr fontId="3" type="noConversion"/>
  <hyperlinks>
    <hyperlink ref="G25" r:id="rId1" xr:uid="{838BE9D1-ACEC-4897-877C-17C72C712F67}"/>
    <hyperlink ref="G121" r:id="rId2" xr:uid="{17F954FF-DCAC-40F5-95EE-6BC0B5EE987E}"/>
    <hyperlink ref="G96" r:id="rId3" xr:uid="{2FC698FB-275E-4038-8E82-2DD778EA9BE9}"/>
    <hyperlink ref="G3" r:id="rId4" xr:uid="{7894E830-F065-4840-97A6-94C070754445}"/>
  </hyperlinks>
  <pageMargins left="0.23622047244094491" right="0.23622047244094491" top="0.74803149606299213" bottom="0.74803149606299213" header="0.31496062992125984" footer="0.31496062992125984"/>
  <pageSetup paperSize="8" scale="27" fitToHeight="0" orientation="landscape"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F499E60B-1B20-4D6C-A707-35F7F6F37D92}">
          <x14:formula1>
            <xm:f>'Somma e media % risorse'!$A$29:$A$52</xm:f>
          </x14:formula1>
          <xm:sqref>F1:F1048576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99715-EB3A-4E3B-BEF2-4194BF8D16DA}">
  <sheetPr>
    <pageSetUpPr fitToPage="1"/>
  </sheetPr>
  <dimension ref="A1:N58"/>
  <sheetViews>
    <sheetView topLeftCell="A26" zoomScale="80" zoomScaleNormal="80" zoomScaleSheetLayoutView="50" workbookViewId="0">
      <selection activeCell="B32" sqref="B32"/>
    </sheetView>
  </sheetViews>
  <sheetFormatPr defaultColWidth="9" defaultRowHeight="14.5" x14ac:dyDescent="0.35"/>
  <cols>
    <col min="1" max="1" width="38.33203125" style="95" customWidth="1"/>
    <col min="2" max="2" width="39.5" style="1" customWidth="1"/>
    <col min="3" max="3" width="28.08203125" style="1" customWidth="1"/>
    <col min="4" max="4" width="28.33203125" style="1" customWidth="1"/>
    <col min="5" max="5" width="28.75" style="1" customWidth="1"/>
    <col min="6" max="6" width="27.75" style="1" customWidth="1"/>
    <col min="7" max="7" width="27.58203125" style="1" customWidth="1"/>
    <col min="8" max="8" width="28" style="1" customWidth="1"/>
    <col min="9" max="9" width="24.25" style="1" customWidth="1"/>
    <col min="10" max="16384" width="9" style="1"/>
  </cols>
  <sheetData>
    <row r="1" spans="1:14" ht="15" thickBot="1" x14ac:dyDescent="0.4"/>
    <row r="2" spans="1:14" ht="18.5" x14ac:dyDescent="0.45">
      <c r="A2" s="135" t="s">
        <v>44</v>
      </c>
      <c r="B2" s="151"/>
      <c r="C2" s="152" t="s">
        <v>21</v>
      </c>
      <c r="D2" s="152" t="s">
        <v>2</v>
      </c>
      <c r="E2" s="152" t="s">
        <v>52</v>
      </c>
      <c r="F2" s="152" t="s">
        <v>9</v>
      </c>
      <c r="G2" s="152" t="s">
        <v>6</v>
      </c>
      <c r="H2" s="152" t="s">
        <v>7</v>
      </c>
    </row>
    <row r="3" spans="1:14" ht="37" x14ac:dyDescent="0.45">
      <c r="A3" s="154" t="s">
        <v>145</v>
      </c>
      <c r="B3" s="205">
        <f>SUM(C3:H3)</f>
        <v>221140000000</v>
      </c>
      <c r="C3" s="206">
        <v>49020000000</v>
      </c>
      <c r="D3" s="206">
        <v>68620000000</v>
      </c>
      <c r="E3" s="206">
        <v>31460000000</v>
      </c>
      <c r="F3" s="206">
        <v>30890000000</v>
      </c>
      <c r="G3" s="206">
        <v>22630000000</v>
      </c>
      <c r="H3" s="206">
        <v>18520000000</v>
      </c>
    </row>
    <row r="4" spans="1:14" s="92" customFormat="1" ht="58" x14ac:dyDescent="0.45">
      <c r="A4" s="153" t="s">
        <v>140</v>
      </c>
      <c r="B4" s="123">
        <f>SUM('Master monitoraggio PNRR'!N22:N150)</f>
        <v>97441061392.610001</v>
      </c>
      <c r="C4" s="149">
        <f>SUMIF('Master monitoraggio PNRR'!$A:$A, "M1", 'Master monitoraggio PNRR'!$N:$N)</f>
        <v>9459000000</v>
      </c>
      <c r="D4" s="149">
        <f>SUMIF('Master monitoraggio PNRR'!$A:$A, "M2", 'Master monitoraggio PNRR'!$N:$N)</f>
        <v>49376695795.25</v>
      </c>
      <c r="E4" s="149">
        <f>SUMIF('Master monitoraggio PNRR'!$A:$A, "M3", 'Master monitoraggio PNRR'!$N:$N)</f>
        <v>13090000000</v>
      </c>
      <c r="F4" s="149">
        <f>SUMIF('Master monitoraggio PNRR'!$A:$A, "M4", 'Master monitoraggio PNRR'!$N:$N)</f>
        <v>11010000000</v>
      </c>
      <c r="G4" s="149">
        <f>SUMIF('Master monitoraggio PNRR'!$A:$A, "M5", 'Master monitoraggio PNRR'!$N:$N)</f>
        <v>13454397519.85</v>
      </c>
      <c r="H4" s="149">
        <f>SUMIF('Master monitoraggio PNRR'!$A:$A, "M6", 'Master monitoraggio PNRR'!$N:$N)</f>
        <v>8059968077.5100002</v>
      </c>
      <c r="I4" s="1"/>
      <c r="J4" s="1"/>
      <c r="K4" s="1"/>
      <c r="L4" s="1"/>
      <c r="M4" s="1"/>
      <c r="N4" s="1"/>
    </row>
    <row r="5" spans="1:14" ht="44" thickBot="1" x14ac:dyDescent="0.5">
      <c r="A5" s="155" t="s">
        <v>141</v>
      </c>
      <c r="B5" s="100">
        <f>SUMIF('Master monitoraggio PNRR'!$O:$O, "&gt;1", 'Master monitoraggio PNRR'!$N:$N)</f>
        <v>99008161392.610001</v>
      </c>
      <c r="C5" s="156">
        <f>SUMIFS('Master monitoraggio PNRR'!$N:$N,'Master monitoraggio PNRR'!$A:$A, "M1", 'Master monitoraggio PNRR'!$O:$O, "&gt;1")</f>
        <v>8527000000</v>
      </c>
      <c r="D5" s="156">
        <f>SUMIFS('Master monitoraggio PNRR'!$N:$N,'Master monitoraggio PNRR'!$A:$A, "M2", 'Master monitoraggio PNRR'!$O:$O, "&gt;1")</f>
        <v>45904195795.25</v>
      </c>
      <c r="E5" s="156">
        <f>SUMIFS('Master monitoraggio PNRR'!$N:$N,'Master monitoraggio PNRR'!$A:$A, "M3", 'Master monitoraggio PNRR'!$O:$O, "&gt;1")</f>
        <v>13090000000</v>
      </c>
      <c r="F5" s="156">
        <f>SUMIFS('Master monitoraggio PNRR'!$N:$N,'Master monitoraggio PNRR'!$A:$A, "M4", 'Master monitoraggio PNRR'!$O:$O, "&gt;1")</f>
        <v>11010000000</v>
      </c>
      <c r="G5" s="156">
        <f>SUMIFS('Master monitoraggio PNRR'!$N:$N,'Master monitoraggio PNRR'!$A:$A, "M5", 'Master monitoraggio PNRR'!$O:$O, "&gt;1")</f>
        <v>12854397519.85</v>
      </c>
      <c r="H5" s="156">
        <f>SUMIFS('Master monitoraggio PNRR'!$N:$N,'Master monitoraggio PNRR'!$A:$A, "M6", 'Master monitoraggio PNRR'!$O:$O, "&gt;1")</f>
        <v>7622568077.5100002</v>
      </c>
    </row>
    <row r="6" spans="1:14" ht="18.5" x14ac:dyDescent="0.45">
      <c r="A6" s="144"/>
      <c r="B6" s="2"/>
      <c r="C6" s="145"/>
      <c r="D6" s="145"/>
      <c r="E6" s="145"/>
      <c r="F6" s="145"/>
      <c r="G6" s="145"/>
      <c r="H6" s="145"/>
    </row>
    <row r="7" spans="1:14" ht="18.5" x14ac:dyDescent="0.45">
      <c r="A7" s="144"/>
      <c r="B7" s="2"/>
    </row>
    <row r="8" spans="1:14" ht="18.5" x14ac:dyDescent="0.45">
      <c r="A8" s="148"/>
      <c r="B8" s="2"/>
      <c r="I8" s="3"/>
    </row>
    <row r="9" spans="1:14" ht="15" thickBot="1" x14ac:dyDescent="0.4"/>
    <row r="10" spans="1:14" ht="19" thickBot="1" x14ac:dyDescent="0.5">
      <c r="A10" s="134"/>
      <c r="B10" s="126"/>
      <c r="C10" s="141" t="s">
        <v>21</v>
      </c>
      <c r="D10" s="142" t="s">
        <v>2</v>
      </c>
      <c r="E10" s="142" t="s">
        <v>52</v>
      </c>
      <c r="F10" s="142" t="s">
        <v>9</v>
      </c>
      <c r="G10" s="142" t="s">
        <v>6</v>
      </c>
      <c r="H10" s="143" t="s">
        <v>7</v>
      </c>
    </row>
    <row r="11" spans="1:14" ht="19" thickBot="1" x14ac:dyDescent="0.5">
      <c r="A11" s="99" t="s">
        <v>160</v>
      </c>
      <c r="B11" s="138">
        <f>SUM('Master monitoraggio PNRR'!$O:$O)</f>
        <v>12480330005.180004</v>
      </c>
      <c r="C11" s="157">
        <f>SUMIF('Master monitoraggio PNRR'!$A:$A, "M1", 'Master monitoraggio PNRR'!$O:$O)</f>
        <v>779764566.66999996</v>
      </c>
      <c r="D11" s="157">
        <f>SUMIF('Master monitoraggio PNRR'!$A:$A, "M2", 'Master monitoraggio PNRR'!$O:$O)</f>
        <v>4309875229.2199993</v>
      </c>
      <c r="E11" s="157">
        <f>SUMIF('Master monitoraggio PNRR'!$A:$A, "M3", 'Master monitoraggio PNRR'!$O:$O)</f>
        <v>3037200000</v>
      </c>
      <c r="F11" s="157">
        <f>SUMIF('Master monitoraggio PNRR'!$A:$A, "M4", 'Master monitoraggio PNRR'!$O:$O)</f>
        <v>1430575585.1699998</v>
      </c>
      <c r="G11" s="157">
        <f>SUMIF('Master monitoraggio PNRR'!$A:$A, "M5", 'Master monitoraggio PNRR'!$O:$O)</f>
        <v>1560558206.54</v>
      </c>
      <c r="H11" s="158">
        <f>SUMIF('Master monitoraggio PNRR'!$A:$A, "M6", 'Master monitoraggio PNRR'!$O:$O)</f>
        <v>1362356417.5799999</v>
      </c>
      <c r="I11" s="3"/>
    </row>
    <row r="12" spans="1:14" ht="19" thickBot="1" x14ac:dyDescent="0.5">
      <c r="A12" s="139"/>
      <c r="B12" s="2"/>
      <c r="C12" s="140"/>
      <c r="D12" s="140"/>
      <c r="E12" s="140"/>
      <c r="F12" s="140"/>
      <c r="G12" s="140"/>
      <c r="H12" s="140"/>
      <c r="I12" s="3"/>
    </row>
    <row r="13" spans="1:14" ht="37.5" thickBot="1" x14ac:dyDescent="0.5">
      <c r="A13" s="139"/>
      <c r="B13" s="2"/>
      <c r="C13" s="136" t="s">
        <v>128</v>
      </c>
      <c r="D13" s="136" t="s">
        <v>129</v>
      </c>
      <c r="E13" s="136" t="s">
        <v>130</v>
      </c>
      <c r="F13" s="136" t="s">
        <v>131</v>
      </c>
      <c r="G13" s="136" t="s">
        <v>132</v>
      </c>
      <c r="H13" s="137" t="s">
        <v>133</v>
      </c>
      <c r="I13" s="3"/>
    </row>
    <row r="14" spans="1:14" ht="18.5" x14ac:dyDescent="0.45">
      <c r="A14" s="139"/>
      <c r="B14" s="2"/>
      <c r="C14" s="146">
        <f t="shared" ref="C14:H14" si="0">(C11/C4)*100</f>
        <v>8.2436258237657256</v>
      </c>
      <c r="D14" s="146">
        <f t="shared" si="0"/>
        <v>8.72856143937158</v>
      </c>
      <c r="E14" s="146">
        <f t="shared" si="0"/>
        <v>23.20244461420932</v>
      </c>
      <c r="F14" s="146">
        <f t="shared" si="0"/>
        <v>12.99342039209809</v>
      </c>
      <c r="G14" s="146">
        <f t="shared" si="0"/>
        <v>11.598870958269398</v>
      </c>
      <c r="H14" s="147">
        <f t="shared" si="0"/>
        <v>16.902752026790637</v>
      </c>
      <c r="I14" s="3"/>
    </row>
    <row r="15" spans="1:14" ht="19" thickBot="1" x14ac:dyDescent="0.5">
      <c r="A15" s="139"/>
      <c r="B15" s="2"/>
      <c r="C15" s="150"/>
      <c r="D15" s="150"/>
      <c r="E15" s="150"/>
      <c r="F15" s="150"/>
      <c r="G15" s="150"/>
      <c r="H15" s="150"/>
      <c r="I15" s="3"/>
    </row>
    <row r="16" spans="1:14" ht="74.5" thickBot="1" x14ac:dyDescent="0.5">
      <c r="A16" s="139"/>
      <c r="B16" s="2"/>
      <c r="C16" s="136" t="s">
        <v>134</v>
      </c>
      <c r="D16" s="136" t="s">
        <v>135</v>
      </c>
      <c r="E16" s="136" t="s">
        <v>136</v>
      </c>
      <c r="F16" s="136" t="s">
        <v>137</v>
      </c>
      <c r="G16" s="136" t="s">
        <v>138</v>
      </c>
      <c r="H16" s="137" t="s">
        <v>139</v>
      </c>
      <c r="I16" s="3"/>
    </row>
    <row r="17" spans="1:9" ht="37.5" thickBot="1" x14ac:dyDescent="0.5">
      <c r="A17" s="5" t="s">
        <v>127</v>
      </c>
      <c r="B17" s="181">
        <f>AVERAGE(C17:H17)</f>
        <v>14.1237171896435</v>
      </c>
      <c r="C17" s="182">
        <f t="shared" ref="C17:H17" si="1">(C11/C5)*100</f>
        <v>9.1446530628591525</v>
      </c>
      <c r="D17" s="183">
        <f t="shared" si="1"/>
        <v>9.3888481315382712</v>
      </c>
      <c r="E17" s="183">
        <f t="shared" si="1"/>
        <v>23.20244461420932</v>
      </c>
      <c r="F17" s="183">
        <f t="shared" si="1"/>
        <v>12.99342039209809</v>
      </c>
      <c r="G17" s="183">
        <f t="shared" si="1"/>
        <v>12.140267205290305</v>
      </c>
      <c r="H17" s="184">
        <f t="shared" si="1"/>
        <v>17.872669731865869</v>
      </c>
      <c r="I17" s="3"/>
    </row>
    <row r="18" spans="1:9" ht="18.5" x14ac:dyDescent="0.45">
      <c r="A18" s="139"/>
      <c r="B18" s="2"/>
      <c r="C18" s="140"/>
      <c r="D18" s="140"/>
      <c r="E18" s="140"/>
      <c r="F18" s="140"/>
      <c r="G18" s="140"/>
      <c r="H18" s="140"/>
      <c r="I18" s="3"/>
    </row>
    <row r="19" spans="1:9" ht="18.5" x14ac:dyDescent="0.35">
      <c r="C19" s="180"/>
      <c r="D19" s="180"/>
      <c r="E19" s="180"/>
      <c r="F19" s="180"/>
      <c r="G19" s="180"/>
      <c r="H19" s="180"/>
      <c r="I19" s="179"/>
    </row>
    <row r="20" spans="1:9" ht="19" thickBot="1" x14ac:dyDescent="0.5">
      <c r="B20" s="2"/>
    </row>
    <row r="21" spans="1:9" ht="19" thickBot="1" x14ac:dyDescent="0.5">
      <c r="A21" s="125"/>
      <c r="B21" s="133"/>
      <c r="C21" s="142" t="s">
        <v>21</v>
      </c>
      <c r="D21" s="142" t="s">
        <v>2</v>
      </c>
      <c r="E21" s="142" t="s">
        <v>52</v>
      </c>
      <c r="F21" s="142" t="s">
        <v>9</v>
      </c>
      <c r="G21" s="142" t="s">
        <v>6</v>
      </c>
      <c r="H21" s="143" t="s">
        <v>7</v>
      </c>
    </row>
    <row r="22" spans="1:9" ht="37.5" thickBot="1" x14ac:dyDescent="0.5">
      <c r="A22" s="93" t="s">
        <v>97</v>
      </c>
      <c r="B22" s="98">
        <f>SUMIF( 'Master monitoraggio PNRR'!$J:$J, "Regione Lombardia", 'Master monitoraggio PNRR'!$O:$O)</f>
        <v>2220020105.1999993</v>
      </c>
      <c r="C22" s="224">
        <f>SUMIFS('Master monitoraggio PNRR'!$O:$O, 'Master monitoraggio PNRR'!$A:$A, "M1", 'Master monitoraggio PNRR'!$J:$J, "Regione Lombardia")</f>
        <v>73740041.599999994</v>
      </c>
      <c r="D22" s="157">
        <f>SUMIFS('Master monitoraggio PNRR'!$O:$O, 'Master monitoraggio PNRR'!$A:$A, "M2", 'Master monitoraggio PNRR'!$J:$J, "Regione Lombardia")</f>
        <v>578134241.22000003</v>
      </c>
      <c r="E22" s="157">
        <f>SUMIFS('Master monitoraggio PNRR'!$O:$O, 'Master monitoraggio PNRR'!$A:$A, "M3", 'Master monitoraggio PNRR'!$J:$J, "Regione Lombardia")</f>
        <v>59400000</v>
      </c>
      <c r="F22" s="157">
        <f>SUMIFS('Master monitoraggio PNRR'!$O:$O, 'Master monitoraggio PNRR'!$A:$A, "M4", 'Master monitoraggio PNRR'!$J:$J, "Regione Lombardia")</f>
        <v>0</v>
      </c>
      <c r="G22" s="157">
        <f>SUMIFS('Master monitoraggio PNRR'!$O:$O, 'Master monitoraggio PNRR'!$A:$A, "M5", 'Master monitoraggio PNRR'!$J:$J, "Regione Lombardia")</f>
        <v>213340723.80000001</v>
      </c>
      <c r="H22" s="158">
        <f>SUMIFS('Master monitoraggio PNRR'!$O:$O, 'Master monitoraggio PNRR'!$A:$A, "M6", 'Master monitoraggio PNRR'!$J:$J, "Regione Lombardia")</f>
        <v>1295405098.5799999</v>
      </c>
      <c r="I22" s="3"/>
    </row>
    <row r="23" spans="1:9" ht="21.5" thickBot="1" x14ac:dyDescent="0.55000000000000004">
      <c r="B23" s="124"/>
      <c r="C23" s="4"/>
      <c r="D23" s="4"/>
      <c r="E23" s="4"/>
      <c r="F23" s="4"/>
      <c r="G23" s="4"/>
      <c r="H23" s="4"/>
    </row>
    <row r="24" spans="1:9" ht="19" thickBot="1" x14ac:dyDescent="0.5">
      <c r="A24" s="125"/>
      <c r="B24" s="126"/>
      <c r="C24" s="127" t="s">
        <v>72</v>
      </c>
      <c r="D24" s="127" t="s">
        <v>73</v>
      </c>
      <c r="E24" s="127" t="s">
        <v>74</v>
      </c>
      <c r="F24" s="127" t="s">
        <v>75</v>
      </c>
      <c r="G24" s="127" t="s">
        <v>76</v>
      </c>
      <c r="H24" s="128" t="s">
        <v>77</v>
      </c>
    </row>
    <row r="25" spans="1:9" ht="37.5" thickBot="1" x14ac:dyDescent="0.5">
      <c r="A25" s="129" t="s">
        <v>98</v>
      </c>
      <c r="B25" s="94">
        <f t="shared" ref="B25:H25" si="2">(B22/B11)*100</f>
        <v>17.78815227064166</v>
      </c>
      <c r="C25" s="130">
        <f t="shared" si="2"/>
        <v>9.456705876609437</v>
      </c>
      <c r="D25" s="131">
        <f t="shared" si="2"/>
        <v>13.414175828116273</v>
      </c>
      <c r="E25" s="131">
        <f t="shared" si="2"/>
        <v>1.9557487159225604</v>
      </c>
      <c r="F25" s="131">
        <f t="shared" si="2"/>
        <v>0</v>
      </c>
      <c r="G25" s="131">
        <f t="shared" si="2"/>
        <v>13.670795674645774</v>
      </c>
      <c r="H25" s="132">
        <f t="shared" si="2"/>
        <v>95.085623839983967</v>
      </c>
    </row>
    <row r="27" spans="1:9" ht="15" thickBot="1" x14ac:dyDescent="0.4">
      <c r="A27" s="1"/>
    </row>
    <row r="28" spans="1:9" ht="53.25" customHeight="1" thickBot="1" x14ac:dyDescent="0.4">
      <c r="A28" s="525" t="s">
        <v>154</v>
      </c>
      <c r="B28" s="526"/>
      <c r="D28" s="525" t="s">
        <v>154</v>
      </c>
      <c r="E28" s="527"/>
      <c r="F28" s="5" t="s">
        <v>677</v>
      </c>
    </row>
    <row r="29" spans="1:9" ht="37.5" thickBot="1" x14ac:dyDescent="0.4">
      <c r="A29" s="290" t="s">
        <v>156</v>
      </c>
      <c r="B29" s="353">
        <f>SUMIF('Master monitoraggio PNRR'!$F:$F,"*scolastica*",'Master monitoraggio PNRR'!$O:$O)</f>
        <v>527103979.26000005</v>
      </c>
      <c r="D29" s="290" t="s">
        <v>256</v>
      </c>
      <c r="E29" s="463">
        <f>SUMIF('Master monitoraggio PNRR'!$F:$F,"*scolastica*",'Master monitoraggio PNRR'!$O:$O)</f>
        <v>527103979.26000005</v>
      </c>
      <c r="F29" s="476">
        <f>SUMIFS('Master monitoraggio PNRR'!$O:$O, 'Master monitoraggio PNRR'!$F:$F,"*scolastica*", 'Master monitoraggio PNRR'!$J:$J, "Regione Lombardia")</f>
        <v>0</v>
      </c>
    </row>
    <row r="30" spans="1:9" ht="19" thickBot="1" x14ac:dyDescent="0.4">
      <c r="A30" s="198" t="s">
        <v>467</v>
      </c>
      <c r="B30" s="353">
        <f>SUMIF('Master monitoraggio PNRR'!$F:$F,"*Istruzione e ricerca*",'Master monitoraggio PNRR'!$O:$O)</f>
        <v>1023273318.17</v>
      </c>
      <c r="D30" s="290" t="s">
        <v>119</v>
      </c>
      <c r="E30" s="463">
        <f>SUMIF('Master monitoraggio PNRR'!$F:$F,"*Istruzione e ricerca*",'Master monitoraggio PNRR'!$O:$O)</f>
        <v>1023273318.17</v>
      </c>
      <c r="F30" s="471">
        <f>SUMIFS('Master monitoraggio PNRR'!$O:$O, 'Master monitoraggio PNRR'!$F:$F,"*Istruzione e ricerca*", 'Master monitoraggio PNRR'!$J:$J, "Regione Lombardia")</f>
        <v>0</v>
      </c>
    </row>
    <row r="31" spans="1:9" ht="19" thickBot="1" x14ac:dyDescent="0.4">
      <c r="A31" s="355" t="s">
        <v>469</v>
      </c>
      <c r="B31" s="353">
        <f>SUMIF('Master monitoraggio PNRR'!$F:$F,"*Patrimonio culturale*",'Master monitoraggio PNRR'!$O:$O)</f>
        <v>153186209.86000001</v>
      </c>
      <c r="D31" s="290" t="s">
        <v>470</v>
      </c>
      <c r="E31" s="464">
        <f>SUMIF('Master monitoraggio PNRR'!$F:$F, "*patrimonio culturale*", 'Master monitoraggio PNRR'!$O:$O)</f>
        <v>153186209.86000001</v>
      </c>
      <c r="F31" s="472">
        <f>SUMIFS('Master monitoraggio PNRR'!$O:$O, 'Master monitoraggio PNRR'!$F:$F,"*CULTURALE*", 'Master monitoraggio PNRR'!$J:$J, "Regione Lombardia")</f>
        <v>0</v>
      </c>
    </row>
    <row r="32" spans="1:9" ht="37.5" thickBot="1" x14ac:dyDescent="0.4">
      <c r="A32" s="426" t="s">
        <v>604</v>
      </c>
      <c r="B32" s="353">
        <f>SUMIF('Master monitoraggio PNRR'!$F:$F,"*agrosistema*",'Master monitoraggio PNRR'!$O:$O)</f>
        <v>42785679</v>
      </c>
      <c r="D32" s="290" t="s">
        <v>604</v>
      </c>
      <c r="E32" s="464">
        <f>SUMIF('Master monitoraggio PNRR'!$F:$F, "*agrosistema*", 'Master monitoraggio PNRR'!$O:$O)</f>
        <v>42785679</v>
      </c>
      <c r="F32" s="471">
        <v>0</v>
      </c>
    </row>
    <row r="33" spans="1:6" ht="37.5" thickBot="1" x14ac:dyDescent="0.4">
      <c r="A33" s="293" t="s">
        <v>153</v>
      </c>
      <c r="B33" s="354">
        <f>SUMIF('Master monitoraggio PNRR'!$F:$F, "*verdi*", 'Master monitoraggio PNRR'!$O:$O)</f>
        <v>471151083.76999998</v>
      </c>
      <c r="D33" s="291" t="s">
        <v>153</v>
      </c>
      <c r="E33" s="464">
        <f>SUMIF('Master monitoraggio PNRR'!$F:$F, "*verdi*", 'Master monitoraggio PNRR'!$O:$O)</f>
        <v>471151083.76999998</v>
      </c>
      <c r="F33" s="471">
        <f>SUMIFS('Master monitoraggio PNRR'!$O:$O, 'Master monitoraggio PNRR'!$F:$F,"*verdi*", 'Master monitoraggio PNRR'!$J:$J, "Regione Lombardia")</f>
        <v>158984744.77000001</v>
      </c>
    </row>
    <row r="34" spans="1:6" ht="19" thickBot="1" x14ac:dyDescent="0.4">
      <c r="A34" s="200" t="s">
        <v>155</v>
      </c>
      <c r="B34" s="192">
        <f>SUMIF('Master monitoraggio PNRR'!$F:$F, "sanit*", 'Master monitoraggio PNRR'!$O:$O)</f>
        <v>1362356417.5799999</v>
      </c>
      <c r="D34" s="200" t="s">
        <v>257</v>
      </c>
      <c r="E34" s="463">
        <f>SUMIF('Master monitoraggio PNRR'!$F:$F, "sanit*", 'Master monitoraggio PNRR'!$O:$O)</f>
        <v>1362356417.5799999</v>
      </c>
      <c r="F34" s="471">
        <f>SUMIFS('Master monitoraggio PNRR'!$O:$O, 'Master monitoraggio PNRR'!$F:$F,"*sanit*", 'Master monitoraggio PNRR'!$J:$J, "Regione Lombardia")</f>
        <v>1295405098.5799999</v>
      </c>
    </row>
    <row r="35" spans="1:6" ht="37.5" thickBot="1" x14ac:dyDescent="0.4">
      <c r="A35" s="199" t="s">
        <v>308</v>
      </c>
      <c r="B35" s="194">
        <f>SUMIF('Master monitoraggio PNRR'!$F:$F, "*ciclistica*", 'Master monitoraggio PNRR'!$O:$O)</f>
        <v>52717946</v>
      </c>
      <c r="D35" s="292" t="s">
        <v>258</v>
      </c>
      <c r="E35" s="465">
        <f>SUMIF('Master monitoraggio PNRR'!$F:$F, "*ciclistica*", 'Master monitoraggio PNRR'!$O:$O)</f>
        <v>52717946</v>
      </c>
      <c r="F35" s="471">
        <f>SUMIFS('Master monitoraggio PNRR'!$O:$O, 'Master monitoraggio PNRR'!$F:$F,"*ciclistica*", 'Master monitoraggio PNRR'!$J:$J, "Regione Lombardia")</f>
        <v>39539913</v>
      </c>
    </row>
    <row r="36" spans="1:6" ht="37.5" thickBot="1" x14ac:dyDescent="0.4">
      <c r="A36" s="200" t="s">
        <v>164</v>
      </c>
      <c r="B36" s="190">
        <f>SUMIF('Master monitoraggio PNRR'!$F:$F, "*sociali*", 'Master monitoraggio PNRR'!$O:$O)</f>
        <v>274950541.5</v>
      </c>
      <c r="D36" s="200" t="s">
        <v>259</v>
      </c>
      <c r="E36" s="466">
        <f>SUMIF('Master monitoraggio PNRR'!$F:$F, "*sociali*", 'Master monitoraggio PNRR'!$O:$O)</f>
        <v>274950541.5</v>
      </c>
      <c r="F36" s="471">
        <v>0</v>
      </c>
    </row>
    <row r="37" spans="1:6" ht="19" thickBot="1" x14ac:dyDescent="0.4">
      <c r="A37" s="199" t="s">
        <v>158</v>
      </c>
      <c r="B37" s="193">
        <f>SUMIF('Master monitoraggio PNRR'!$F:$F, "*lavoro*", 'Master monitoraggio PNRR'!$O:$O)</f>
        <v>146509048</v>
      </c>
      <c r="D37" s="293" t="s">
        <v>260</v>
      </c>
      <c r="E37" s="464">
        <f>SUMIF('Master monitoraggio PNRR'!$F:$F, "*lavoro*", 'Master monitoraggio PNRR'!$O:$O)</f>
        <v>146509048</v>
      </c>
      <c r="F37" s="471">
        <f>SUMIFS('Master monitoraggio PNRR'!$O:$O, 'Master monitoraggio PNRR'!$F:$F,"*lavoro*", 'Master monitoraggio PNRR'!$J:$J, "Regione Lombardia")</f>
        <v>146509048</v>
      </c>
    </row>
    <row r="38" spans="1:6" ht="56" thickBot="1" x14ac:dyDescent="0.4">
      <c r="A38" s="200" t="s">
        <v>577</v>
      </c>
      <c r="B38" s="190">
        <f>SUMIF('Master monitoraggio PNRR'!$F:$F, "*abitative*",'Master monitoraggio PNRR'!$O:$O)</f>
        <v>1147456565.25</v>
      </c>
      <c r="D38" s="200" t="s">
        <v>578</v>
      </c>
      <c r="E38" s="466">
        <f>SUMIF('Master monitoraggio PNRR'!$F:$F, "*abitative*",'Master monitoraggio PNRR'!$O:$O)</f>
        <v>1147456565.25</v>
      </c>
      <c r="F38" s="471">
        <f>SUMIFS('Master monitoraggio PNRR'!$O:$O, 'Master monitoraggio PNRR'!$F:$F,"*abitative*", 'Master monitoraggio PNRR'!$J:$J, "Regione Lombardia")</f>
        <v>319768921.08999997</v>
      </c>
    </row>
    <row r="39" spans="1:6" ht="19" thickBot="1" x14ac:dyDescent="0.5">
      <c r="A39" s="201" t="s">
        <v>157</v>
      </c>
      <c r="B39" s="196">
        <f>SUMIF('Master monitoraggio PNRR'!$F:$F, "*interne*", 'Master monitoraggio PNRR'!$O:$O)</f>
        <v>13640000</v>
      </c>
      <c r="D39" s="201" t="s">
        <v>261</v>
      </c>
      <c r="E39" s="467">
        <f>SUMIF('Master monitoraggio PNRR'!$F:$F, "*interne*", 'Master monitoraggio PNRR'!$O:$O)</f>
        <v>13640000</v>
      </c>
      <c r="F39" s="473">
        <v>0</v>
      </c>
    </row>
    <row r="40" spans="1:6" ht="111.5" thickBot="1" x14ac:dyDescent="0.4">
      <c r="A40" s="191" t="s">
        <v>184</v>
      </c>
      <c r="B40" s="192">
        <f>SUMIF('Master monitoraggio PNRR'!$F:$F, "*geologico*", 'Master monitoraggio PNRR'!$O:$O)</f>
        <v>645629653.69000006</v>
      </c>
      <c r="D40" s="191" t="s">
        <v>262</v>
      </c>
      <c r="E40" s="463">
        <f>SUMIF('Master monitoraggio PNRR'!$F:$F, "*geologico*", 'Master monitoraggio PNRR'!$O:$O)</f>
        <v>645629653.69000006</v>
      </c>
      <c r="F40" s="471">
        <f>SUMIFS('Master monitoraggio PNRR'!$O:$O, 'Master monitoraggio PNRR'!$F:$F,"*geologico*", 'Master monitoraggio PNRR'!$J:$J, "Regione Lombardia")</f>
        <v>74939664.599999994</v>
      </c>
    </row>
    <row r="41" spans="1:6" ht="37.5" thickBot="1" x14ac:dyDescent="0.4">
      <c r="A41" s="201" t="s">
        <v>163</v>
      </c>
      <c r="B41" s="192">
        <f>SUMIF('Master monitoraggio PNRR'!$F:$F, "*ferroviaria*", 'Master monitoraggio PNRR'!$O:$O)</f>
        <v>3037200000</v>
      </c>
      <c r="D41" s="201" t="s">
        <v>263</v>
      </c>
      <c r="E41" s="463">
        <f>SUMIF('Master monitoraggio PNRR'!$F:$F, "*ferroviaria*", 'Master monitoraggio PNRR'!$O:$O)</f>
        <v>3037200000</v>
      </c>
      <c r="F41" s="471">
        <f>SUMIFS('Master monitoraggio PNRR'!$O:$O, 'Master monitoraggio PNRR'!$F:$F,"*ferroviaria*", 'Master monitoraggio PNRR'!$J:$J, "Regione Lombardia")</f>
        <v>59400000</v>
      </c>
    </row>
    <row r="42" spans="1:6" ht="57" customHeight="1" thickBot="1" x14ac:dyDescent="0.4">
      <c r="A42" s="197" t="s">
        <v>159</v>
      </c>
      <c r="B42" s="194">
        <f>SUMIF('Master monitoraggio PNRR'!$F:$F, "*massa*", 'Master monitoraggio PNRR'!$O:$O)</f>
        <v>646017359.27999997</v>
      </c>
      <c r="D42" s="197" t="s">
        <v>264</v>
      </c>
      <c r="E42" s="465">
        <f>SUMIF('Master monitoraggio PNRR'!$F:$F, "*massa*", 'Master monitoraggio PNRR'!$O:$O)</f>
        <v>646017359.27999997</v>
      </c>
      <c r="F42" s="471">
        <f>SUMIFS('Master monitoraggio PNRR'!$O:$O, 'Master monitoraggio PNRR'!$F:$F,"*massa*", 'Master monitoraggio PNRR'!$J:$J, "Regione Lombardia")</f>
        <v>0</v>
      </c>
    </row>
    <row r="43" spans="1:6" ht="37.5" thickBot="1" x14ac:dyDescent="0.4">
      <c r="A43" s="197" t="s">
        <v>162</v>
      </c>
      <c r="B43" s="194">
        <f>SUMIF('Master monitoraggio PNRR'!$F:$F, "*borghi*", 'Master monitoraggio PNRR'!$O:$O)</f>
        <v>79743451.269999996</v>
      </c>
      <c r="D43" s="197" t="s">
        <v>265</v>
      </c>
      <c r="E43" s="465">
        <f>SUMIF('Master monitoraggio PNRR'!$F:$F, "*borghi*", 'Master monitoraggio PNRR'!$O:$O)</f>
        <v>79743451.269999996</v>
      </c>
      <c r="F43" s="471">
        <f>SUMIFS('Master monitoraggio PNRR'!$O:$O, 'Master monitoraggio PNRR'!$F:$F,"*borghi*", 'Master monitoraggio PNRR'!$J:$J, "Regione Lombardia")</f>
        <v>27793942.469999999</v>
      </c>
    </row>
    <row r="44" spans="1:6" ht="37.5" thickBot="1" x14ac:dyDescent="0.4">
      <c r="A44" s="197" t="s">
        <v>226</v>
      </c>
      <c r="B44" s="202">
        <v>38632000</v>
      </c>
      <c r="D44" s="197" t="s">
        <v>266</v>
      </c>
      <c r="E44" s="468">
        <v>38632000</v>
      </c>
      <c r="F44" s="474">
        <v>38632000</v>
      </c>
    </row>
    <row r="45" spans="1:6" ht="56" thickBot="1" x14ac:dyDescent="0.5">
      <c r="A45" s="201" t="s">
        <v>700</v>
      </c>
      <c r="B45" s="192">
        <f>SUMIF('Master monitoraggio PNRR'!$F:$F, "*Interventi per la resilienza*", 'Master monitoraggio PNRR'!$O:$O)</f>
        <v>982221394.87</v>
      </c>
      <c r="D45" s="195" t="s">
        <v>701</v>
      </c>
      <c r="E45" s="463">
        <f>SUMIF('Master monitoraggio PNRR'!$F:$F, "*Interventi per la resilienza*", 'Master monitoraggio PNRR'!$O:$O)</f>
        <v>982221394.87</v>
      </c>
      <c r="F45" s="471">
        <f>SUMIFS('Master monitoraggio PNRR'!$O:$O, 'Master monitoraggio PNRR'!$F:$F,"*Interventi per la resilienza*", 'Master monitoraggio PNRR'!$J:$J, "Regione Lombardia")</f>
        <v>0</v>
      </c>
    </row>
    <row r="46" spans="1:6" ht="19" thickBot="1" x14ac:dyDescent="0.5">
      <c r="A46" s="494" t="s">
        <v>699</v>
      </c>
      <c r="B46" s="495">
        <f>SUMIF('Master monitoraggio PNRR'!$F:$F, "*Efficienza energetica*", 'Master monitoraggio PNRR'!$O:$O)</f>
        <v>108505927</v>
      </c>
      <c r="D46" s="494" t="s">
        <v>699</v>
      </c>
      <c r="E46" s="496">
        <f>SUMIF('Master monitoraggio PNRR'!$F:$F, "*Efficienza energetica*", 'Master monitoraggio PNRR'!$O:$O)</f>
        <v>108505927</v>
      </c>
      <c r="F46" s="471">
        <f>SUMIFS('Master monitoraggio PNRR'!$O:$O, 'Master monitoraggio PNRR'!$F:$F,"*Efficienza energetica*", 'Master monitoraggio PNRR'!$J:$J, "Regione Lombardia")</f>
        <v>0</v>
      </c>
    </row>
    <row r="47" spans="1:6" ht="37.5" thickBot="1" x14ac:dyDescent="0.5">
      <c r="A47" s="234" t="s">
        <v>166</v>
      </c>
      <c r="B47" s="235">
        <f>SUMIF('Master monitoraggio PNRR'!$F:$F, "*rigenerazione*", 'Master monitoraggio PNRR'!$O:$O)</f>
        <v>722239297.07999992</v>
      </c>
      <c r="D47" s="234" t="s">
        <v>267</v>
      </c>
      <c r="E47" s="469">
        <f>SUMIF('Master monitoraggio PNRR'!$F:$F, "*rigenerazione*", 'Master monitoraggio PNRR'!$O:$O)</f>
        <v>722239297.07999992</v>
      </c>
      <c r="F47" s="471">
        <v>0</v>
      </c>
    </row>
    <row r="48" spans="1:6" ht="19" thickBot="1" x14ac:dyDescent="0.5">
      <c r="A48" s="245" t="s">
        <v>203</v>
      </c>
      <c r="B48" s="235">
        <f>SUMIF('Master monitoraggio PNRR'!$F:$F, "*carceraria*", 'Master monitoraggio PNRR'!$O:$O)</f>
        <v>20780000</v>
      </c>
      <c r="D48" s="245" t="s">
        <v>203</v>
      </c>
      <c r="E48" s="469">
        <f>SUMIF('Master monitoraggio PNRR'!$F:$F, "*carceraria*", 'Master monitoraggio PNRR'!$O:$O)</f>
        <v>20780000</v>
      </c>
      <c r="F48" s="471">
        <v>0</v>
      </c>
    </row>
    <row r="49" spans="1:6" ht="19" thickBot="1" x14ac:dyDescent="0.5">
      <c r="A49" s="245" t="s">
        <v>224</v>
      </c>
      <c r="B49" s="492">
        <f>SUMIF('Master monitoraggio PNRR'!$F:$F, "*digitalizzazione*", 'Master monitoraggio PNRR'!$O:$O)</f>
        <v>508202905.53999996</v>
      </c>
      <c r="D49" s="246" t="s">
        <v>224</v>
      </c>
      <c r="E49" s="470">
        <f>SUMIF('Master monitoraggio PNRR'!$F:$F, "*digitalizzazione*", 'Master monitoraggio PNRR'!$O:$O)</f>
        <v>508202905.53999996</v>
      </c>
      <c r="F49" s="471">
        <f>SUMIFS('Master monitoraggio PNRR'!$O:$O, 'Master monitoraggio PNRR'!$F:$F,"*digitalizzazione*", 'Master monitoraggio PNRR'!$J:$J, "Regione Lombardia")</f>
        <v>7314099.1299999999</v>
      </c>
    </row>
    <row r="50" spans="1:6" ht="19" thickBot="1" x14ac:dyDescent="0.5">
      <c r="A50" s="245" t="s">
        <v>233</v>
      </c>
      <c r="B50" s="247">
        <f>SUMIF('Master monitoraggio PNRR'!$F:$F, "*siti orfani*", 'Master monitoraggio PNRR'!$O:$O)</f>
        <v>51732673.560000002</v>
      </c>
      <c r="D50" s="246" t="s">
        <v>233</v>
      </c>
      <c r="E50" s="470">
        <f>SUMIF('Master monitoraggio PNRR'!$F:$F, "*siti orfani*", 'Master monitoraggio PNRR'!$O:$O)</f>
        <v>51732673.560000002</v>
      </c>
      <c r="F50" s="475">
        <f>SUMIFS('Master monitoraggio PNRR'!$O:$O, 'Master monitoraggio PNRR'!$F:$F,"*siti orfani*", 'Master monitoraggio PNRR'!$J:$J, "Regione Lombardia")</f>
        <v>51732673.560000002</v>
      </c>
    </row>
    <row r="51" spans="1:6" ht="19" thickBot="1" x14ac:dyDescent="0.5">
      <c r="A51" s="245" t="s">
        <v>714</v>
      </c>
      <c r="B51" s="513">
        <f>SUMIF('Master monitoraggio PNRR'!$F:$F, "*Logistica*", 'Master monitoraggio PNRR'!$O:$O)</f>
        <v>10000000</v>
      </c>
      <c r="D51" s="491" t="s">
        <v>714</v>
      </c>
      <c r="E51" s="470">
        <f>SUMIF('Master monitoraggio PNRR'!$F:$F, "*logistica*", 'Master monitoraggio PNRR'!$O:$O)</f>
        <v>10000000</v>
      </c>
      <c r="F51" s="511"/>
    </row>
    <row r="52" spans="1:6" ht="19" thickBot="1" x14ac:dyDescent="0.5">
      <c r="A52" s="512" t="s">
        <v>693</v>
      </c>
      <c r="B52" s="247">
        <f>SUMIF('Master monitoraggio PNRR'!$F:$F, "*economia circolare*", 'Master monitoraggio PNRR'!$O:$O)</f>
        <v>414294554.5</v>
      </c>
      <c r="D52" s="246" t="s">
        <v>693</v>
      </c>
      <c r="E52" s="470">
        <f>SUMIF('Master monitoraggio PNRR'!$F:$F, "*economia circolare*", 'Master monitoraggio PNRR'!$O:$O)</f>
        <v>414294554.5</v>
      </c>
      <c r="F52" s="353">
        <f>SUMIFS('Master monitoraggio PNRR'!$O:$O, 'Master monitoraggio PNRR'!$F:$F,"*economia circolare*", 'Master monitoraggio PNRR'!$J:$J, "Regione Lombardia")</f>
        <v>0</v>
      </c>
    </row>
    <row r="53" spans="1:6" x14ac:dyDescent="0.35">
      <c r="B53" s="96">
        <f>SUM(B29:B52)</f>
        <v>12480330005.180002</v>
      </c>
      <c r="E53" s="510">
        <f>SUM(E29:E52)</f>
        <v>12480330005.180002</v>
      </c>
      <c r="F53" s="462">
        <f>SUM(F29:F50)</f>
        <v>2220020105.1999998</v>
      </c>
    </row>
    <row r="54" spans="1:6" x14ac:dyDescent="0.35">
      <c r="B54" s="96"/>
    </row>
    <row r="55" spans="1:6" x14ac:dyDescent="0.35">
      <c r="B55" s="97"/>
    </row>
    <row r="56" spans="1:6" x14ac:dyDescent="0.35">
      <c r="B56" s="97"/>
    </row>
    <row r="57" spans="1:6" x14ac:dyDescent="0.35">
      <c r="B57" s="97"/>
    </row>
    <row r="58" spans="1:6" x14ac:dyDescent="0.35">
      <c r="B58" s="3"/>
    </row>
  </sheetData>
  <sheetProtection algorithmName="SHA-512" hashValue="I6khjnvDP1bDw3Eh0rZiXsV/0E62p6+E5bT+7t41XqyepHQ7I3UpSE4pp/A/LNnYv7j1amnIsqhO4Q2yUqs8vw==" saltValue="YW27Ve6YTExuhJEqjC39dQ==" spinCount="100000" sheet="1" objects="1" scenarios="1"/>
  <mergeCells count="2">
    <mergeCell ref="A28:B28"/>
    <mergeCell ref="D28:E28"/>
  </mergeCells>
  <phoneticPr fontId="3" type="noConversion"/>
  <pageMargins left="0.7" right="0.7" top="0.75" bottom="0.75" header="0.3" footer="0.3"/>
  <pageSetup paperSize="8"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CREDITS</vt:lpstr>
      <vt:lpstr>Master monitoraggio PNRR</vt:lpstr>
      <vt:lpstr>Somma e media % risorse</vt:lpstr>
      <vt:lpstr>'Master monitoraggio PNRR'!Area_stampa</vt:lpstr>
      <vt:lpstr>'Master monitoraggio PNRR'!Titoli_stampa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Saverio Malatesta</dc:creator>
  <cp:lastModifiedBy>Domenico Marco Papale</cp:lastModifiedBy>
  <cp:lastPrinted>2023-01-09T17:17:35Z</cp:lastPrinted>
  <dcterms:created xsi:type="dcterms:W3CDTF">2021-11-11T15:53:06Z</dcterms:created>
  <dcterms:modified xsi:type="dcterms:W3CDTF">2023-01-24T16:39:26Z</dcterms:modified>
</cp:coreProperties>
</file>